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05"/>
  </bookViews>
  <sheets>
    <sheet name="数值表" sheetId="3" r:id="rId1"/>
  </sheets>
  <calcPr calcId="144525"/>
</workbook>
</file>

<file path=xl/sharedStrings.xml><?xml version="1.0" encoding="utf-8"?>
<sst xmlns="http://schemas.openxmlformats.org/spreadsheetml/2006/main" count="333" uniqueCount="104">
  <si>
    <t>怀化市教育局2021年公开招聘市直公办学校教师面试及综合成绩</t>
  </si>
  <si>
    <t>岗位代码</t>
  </si>
  <si>
    <t>岗位名称</t>
  </si>
  <si>
    <t>姓名</t>
  </si>
  <si>
    <t>准考证号或身份证号</t>
  </si>
  <si>
    <t>面试抽签号</t>
  </si>
  <si>
    <t>面试成绩</t>
  </si>
  <si>
    <t>综合成绩</t>
  </si>
  <si>
    <t>初中道德与法治</t>
  </si>
  <si>
    <t>初中化学</t>
  </si>
  <si>
    <t>初中会计</t>
  </si>
  <si>
    <t>初中美术</t>
  </si>
  <si>
    <t>初中数学</t>
  </si>
  <si>
    <t>初中体育</t>
  </si>
  <si>
    <t>初中卫生技术</t>
  </si>
  <si>
    <t>初中物理</t>
  </si>
  <si>
    <t>初中心理健康</t>
  </si>
  <si>
    <t>初中音乐</t>
  </si>
  <si>
    <t>初中英语</t>
  </si>
  <si>
    <t>缺</t>
  </si>
  <si>
    <t>初中语文</t>
  </si>
  <si>
    <t>高中地理</t>
  </si>
  <si>
    <t>高中生物</t>
  </si>
  <si>
    <t>高中数学1</t>
  </si>
  <si>
    <t>高中物理</t>
  </si>
  <si>
    <t>高中英语</t>
  </si>
  <si>
    <t>高中语文</t>
  </si>
  <si>
    <t>高中政治</t>
  </si>
  <si>
    <t>042</t>
  </si>
  <si>
    <t>特殊教育高中美术</t>
  </si>
  <si>
    <t>袁清</t>
  </si>
  <si>
    <t>4312021992****0467</t>
  </si>
  <si>
    <t>左煜瀚</t>
  </si>
  <si>
    <t>4312811992****1410</t>
  </si>
  <si>
    <t>尹晶</t>
  </si>
  <si>
    <t>4312811997****142X</t>
  </si>
  <si>
    <t>陈诗棋</t>
  </si>
  <si>
    <t>4312261993****3087</t>
  </si>
  <si>
    <t>倪萍珍</t>
  </si>
  <si>
    <t>4312291989****1621</t>
  </si>
  <si>
    <t>杨媛</t>
  </si>
  <si>
    <t>4312241991****3101</t>
  </si>
  <si>
    <t>王依卉</t>
  </si>
  <si>
    <t>4312251991****0029</t>
  </si>
  <si>
    <t>覃海玉</t>
  </si>
  <si>
    <t>4312221997****3362</t>
  </si>
  <si>
    <t>张蒲凌涛</t>
  </si>
  <si>
    <t>4312211995****0211</t>
  </si>
  <si>
    <t>张先觉</t>
  </si>
  <si>
    <t>4331271992****0811</t>
  </si>
  <si>
    <t>彭宇</t>
  </si>
  <si>
    <t>4312281994****0013</t>
  </si>
  <si>
    <t>瞿小凤</t>
  </si>
  <si>
    <t>4312211987****082X</t>
  </si>
  <si>
    <t>刘凌雯</t>
  </si>
  <si>
    <t>4312261996****0041</t>
  </si>
  <si>
    <t>付红</t>
  </si>
  <si>
    <t>4312021988****1044</t>
  </si>
  <si>
    <t>严瑞雯</t>
  </si>
  <si>
    <t>4331011996****2028</t>
  </si>
  <si>
    <t>蒋金玲</t>
  </si>
  <si>
    <t>4312281997****1688</t>
  </si>
  <si>
    <t>王一帆</t>
  </si>
  <si>
    <t>4309211999****1764</t>
  </si>
  <si>
    <t>满雪婷</t>
  </si>
  <si>
    <t>4312261998****4867</t>
  </si>
  <si>
    <t>吴聪</t>
  </si>
  <si>
    <t>4312241996****8485</t>
  </si>
  <si>
    <t>舒海燕</t>
  </si>
  <si>
    <t>4312271996****5169</t>
  </si>
  <si>
    <t>041</t>
  </si>
  <si>
    <t>特殊教育高中英语</t>
  </si>
  <si>
    <t>李曼萍</t>
  </si>
  <si>
    <t>4305211994****9669</t>
  </si>
  <si>
    <t>郑红红</t>
  </si>
  <si>
    <t>4312261987****1527</t>
  </si>
  <si>
    <t>杨衡</t>
  </si>
  <si>
    <t>4312281994****3827</t>
  </si>
  <si>
    <t>李斯</t>
  </si>
  <si>
    <t>4312021992****0628</t>
  </si>
  <si>
    <t>039</t>
  </si>
  <si>
    <t>特殊教育高中语文</t>
  </si>
  <si>
    <t>陈江南</t>
  </si>
  <si>
    <t>4312021996****0425</t>
  </si>
  <si>
    <t>向维</t>
  </si>
  <si>
    <t>4331271994****2246</t>
  </si>
  <si>
    <t>小学道德与法治</t>
  </si>
  <si>
    <t>小学会计</t>
  </si>
  <si>
    <t>小学科学</t>
  </si>
  <si>
    <t>小学美术</t>
  </si>
  <si>
    <t>小学数学</t>
  </si>
  <si>
    <t>小学体育1</t>
  </si>
  <si>
    <t>小学体育2</t>
  </si>
  <si>
    <t>小学卫生技术</t>
  </si>
  <si>
    <t>小学信息技术</t>
  </si>
  <si>
    <t>小学音乐1</t>
  </si>
  <si>
    <t>小学音乐2</t>
  </si>
  <si>
    <t>小学音乐3</t>
  </si>
  <si>
    <t>小学英语</t>
  </si>
  <si>
    <t>小学语文</t>
  </si>
  <si>
    <t>幼儿园教师1</t>
  </si>
  <si>
    <t>幼儿园教师2</t>
  </si>
  <si>
    <t>幼儿园教师3</t>
  </si>
  <si>
    <t>幼儿园卫生技术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</si>
</sst>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宋体"/>
      <charset val="134"/>
    </font>
    <font>
      <b/>
      <sz val="1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4" fillId="14" borderId="6" applyNumberFormat="false" applyAlignment="false" applyProtection="false">
      <alignment vertical="center"/>
    </xf>
    <xf numFmtId="0" fontId="24" fillId="32" borderId="10" applyNumberFormat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5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0" fillId="26" borderId="9" applyNumberFormat="false" applyFont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17" fillId="14" borderId="8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0" fillId="22" borderId="8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0" fillId="0" borderId="0" xfId="0" applyFont="true">
      <alignment vertical="center"/>
    </xf>
    <xf numFmtId="0" fontId="0" fillId="0" borderId="0" xfId="0" applyFont="true" applyFill="true">
      <alignment vertical="center"/>
    </xf>
    <xf numFmtId="176" fontId="0" fillId="0" borderId="0" xfId="0" applyNumberFormat="true" applyFont="true" applyBorder="true" applyAlignment="true">
      <alignment horizontal="center" vertical="center"/>
    </xf>
    <xf numFmtId="0" fontId="0" fillId="0" borderId="0" xfId="0" applyBorder="true">
      <alignment vertical="center"/>
    </xf>
    <xf numFmtId="0" fontId="4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176" fontId="4" fillId="0" borderId="0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176" fontId="0" fillId="0" borderId="2" xfId="0" applyNumberFormat="true" applyFont="true" applyBorder="true" applyAlignment="true">
      <alignment horizontal="center" vertical="center"/>
    </xf>
    <xf numFmtId="176" fontId="6" fillId="0" borderId="2" xfId="0" applyNumberFormat="true" applyFont="true" applyBorder="true" applyAlignment="true">
      <alignment horizontal="center" vertical="center"/>
    </xf>
    <xf numFmtId="0" fontId="2" fillId="0" borderId="0" xfId="0" applyFont="true" applyBorder="true">
      <alignment vertical="center"/>
    </xf>
    <xf numFmtId="0" fontId="3" fillId="0" borderId="0" xfId="0" applyFont="true" applyBorder="true">
      <alignment vertical="center"/>
    </xf>
    <xf numFmtId="49" fontId="1" fillId="0" borderId="2" xfId="0" applyNumberFormat="true" applyFont="true" applyFill="true" applyBorder="true" applyAlignment="true">
      <alignment horizontal="center" vertical="center"/>
    </xf>
    <xf numFmtId="0" fontId="0" fillId="0" borderId="0" xfId="0" applyFont="true" applyBorder="true">
      <alignment vertical="center"/>
    </xf>
  </cellXfs>
  <cellStyles count="51">
    <cellStyle name="常规" xfId="0" builtinId="0"/>
    <cellStyle name="常规 4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2"/>
  <sheetViews>
    <sheetView tabSelected="1" topLeftCell="A13" workbookViewId="0">
      <selection activeCell="G7" sqref="G7"/>
    </sheetView>
  </sheetViews>
  <sheetFormatPr defaultColWidth="9" defaultRowHeight="15"/>
  <cols>
    <col min="1" max="1" width="6" style="4" customWidth="true"/>
    <col min="2" max="2" width="17.875" style="4" customWidth="true"/>
    <col min="3" max="3" width="9.375" style="4" customWidth="true"/>
    <col min="4" max="4" width="18.875" style="4" customWidth="true"/>
    <col min="5" max="5" width="12.5" style="5" customWidth="true"/>
    <col min="6" max="6" width="14.375" style="4" customWidth="true"/>
    <col min="7" max="7" width="13.875" style="6" customWidth="true"/>
    <col min="8" max="10" width="9" style="7"/>
  </cols>
  <sheetData>
    <row r="1" s="1" customFormat="true" ht="30.75" customHeight="true" spans="1:10">
      <c r="A1" s="8" t="s">
        <v>0</v>
      </c>
      <c r="B1" s="8"/>
      <c r="C1" s="8"/>
      <c r="D1" s="8"/>
      <c r="E1" s="11"/>
      <c r="F1" s="8"/>
      <c r="G1" s="12"/>
      <c r="H1" s="13"/>
      <c r="I1" s="13"/>
      <c r="J1" s="13"/>
    </row>
    <row r="2" ht="31.5" spans="1:7">
      <c r="A2" s="9" t="s">
        <v>1</v>
      </c>
      <c r="B2" s="10" t="s">
        <v>2</v>
      </c>
      <c r="C2" s="10" t="s">
        <v>3</v>
      </c>
      <c r="D2" s="10" t="s">
        <v>4</v>
      </c>
      <c r="E2" s="14" t="s">
        <v>5</v>
      </c>
      <c r="F2" s="15" t="s">
        <v>6</v>
      </c>
      <c r="G2" s="16" t="s">
        <v>7</v>
      </c>
    </row>
    <row r="3" s="2" customFormat="true" ht="15.75" spans="1:10">
      <c r="A3" s="10" t="str">
        <f>"012"</f>
        <v>012</v>
      </c>
      <c r="B3" s="9" t="s">
        <v>8</v>
      </c>
      <c r="C3" s="10" t="str">
        <f>"熊瑶"</f>
        <v>熊瑶</v>
      </c>
      <c r="D3" s="10" t="str">
        <f>"2021014605"</f>
        <v>2021014605</v>
      </c>
      <c r="E3" s="14">
        <v>1</v>
      </c>
      <c r="F3" s="15">
        <v>94.33</v>
      </c>
      <c r="G3" s="17">
        <v>83.615</v>
      </c>
      <c r="H3" s="18"/>
      <c r="I3" s="18"/>
      <c r="J3" s="18"/>
    </row>
    <row r="4" ht="15.75" spans="1:7">
      <c r="A4" s="10" t="str">
        <f>"012"</f>
        <v>012</v>
      </c>
      <c r="B4" s="9" t="s">
        <v>8</v>
      </c>
      <c r="C4" s="10" t="str">
        <f>"杨燕梅"</f>
        <v>杨燕梅</v>
      </c>
      <c r="D4" s="10" t="str">
        <f>"2021014529"</f>
        <v>2021014529</v>
      </c>
      <c r="E4" s="14">
        <v>2</v>
      </c>
      <c r="F4" s="15">
        <v>89</v>
      </c>
      <c r="G4" s="16">
        <v>80.925</v>
      </c>
    </row>
    <row r="5" s="3" customFormat="true" ht="15.75" spans="1:10">
      <c r="A5" s="10" t="str">
        <f>"014"</f>
        <v>014</v>
      </c>
      <c r="B5" s="10" t="s">
        <v>9</v>
      </c>
      <c r="C5" s="10" t="str">
        <f>"黄倩"</f>
        <v>黄倩</v>
      </c>
      <c r="D5" s="10" t="str">
        <f>"2021014830"</f>
        <v>2021014830</v>
      </c>
      <c r="E5" s="14">
        <v>1</v>
      </c>
      <c r="F5" s="15">
        <v>85.6</v>
      </c>
      <c r="G5" s="16">
        <v>81.525</v>
      </c>
      <c r="H5" s="19"/>
      <c r="I5" s="19"/>
      <c r="J5" s="19"/>
    </row>
    <row r="6" ht="15.75" spans="1:11">
      <c r="A6" s="10" t="str">
        <f>"014"</f>
        <v>014</v>
      </c>
      <c r="B6" s="10" t="s">
        <v>9</v>
      </c>
      <c r="C6" s="10" t="str">
        <f>"王丹"</f>
        <v>王丹</v>
      </c>
      <c r="D6" s="10" t="str">
        <f>"2021014909"</f>
        <v>2021014909</v>
      </c>
      <c r="E6" s="14">
        <v>2</v>
      </c>
      <c r="F6" s="15">
        <v>85.2</v>
      </c>
      <c r="G6" s="16">
        <v>80.7</v>
      </c>
      <c r="K6" s="7"/>
    </row>
    <row r="7" s="3" customFormat="true" ht="15.75" spans="1:10">
      <c r="A7" s="10" t="str">
        <f t="shared" ref="A7:A12" si="0">"020"</f>
        <v>020</v>
      </c>
      <c r="B7" s="10" t="s">
        <v>10</v>
      </c>
      <c r="C7" s="10" t="str">
        <f>"李光珍"</f>
        <v>李光珍</v>
      </c>
      <c r="D7" s="10" t="str">
        <f>"2021023716"</f>
        <v>2021023716</v>
      </c>
      <c r="E7" s="14">
        <v>6</v>
      </c>
      <c r="F7" s="15">
        <v>94.3</v>
      </c>
      <c r="G7" s="16">
        <v>82.015</v>
      </c>
      <c r="H7" s="19"/>
      <c r="I7" s="19"/>
      <c r="J7" s="19"/>
    </row>
    <row r="8" s="3" customFormat="true" ht="15.75" spans="1:10">
      <c r="A8" s="10" t="str">
        <f t="shared" si="0"/>
        <v>020</v>
      </c>
      <c r="B8" s="10" t="s">
        <v>10</v>
      </c>
      <c r="C8" s="10" t="str">
        <f>"王丽香"</f>
        <v>王丽香</v>
      </c>
      <c r="D8" s="10" t="str">
        <f>"2021023710"</f>
        <v>2021023710</v>
      </c>
      <c r="E8" s="14">
        <v>5</v>
      </c>
      <c r="F8" s="15">
        <v>94</v>
      </c>
      <c r="G8" s="16">
        <v>81.47</v>
      </c>
      <c r="H8" s="19"/>
      <c r="I8" s="19"/>
      <c r="J8" s="19"/>
    </row>
    <row r="9" s="3" customFormat="true" ht="15.75" spans="1:10">
      <c r="A9" s="10" t="str">
        <f t="shared" si="0"/>
        <v>020</v>
      </c>
      <c r="B9" s="10" t="s">
        <v>10</v>
      </c>
      <c r="C9" s="10" t="str">
        <f>"龙樟灵"</f>
        <v>龙樟灵</v>
      </c>
      <c r="D9" s="10" t="str">
        <f>"2021023610"</f>
        <v>2021023610</v>
      </c>
      <c r="E9" s="14">
        <v>4</v>
      </c>
      <c r="F9" s="15">
        <v>93.7</v>
      </c>
      <c r="G9" s="16">
        <v>81.445</v>
      </c>
      <c r="H9" s="19"/>
      <c r="I9" s="19"/>
      <c r="J9" s="19"/>
    </row>
    <row r="10" ht="15.75" spans="1:7">
      <c r="A10" s="10" t="str">
        <f t="shared" si="0"/>
        <v>020</v>
      </c>
      <c r="B10" s="10" t="s">
        <v>10</v>
      </c>
      <c r="C10" s="10" t="str">
        <f>"罗丹"</f>
        <v>罗丹</v>
      </c>
      <c r="D10" s="10" t="str">
        <f>"2021023926"</f>
        <v>2021023926</v>
      </c>
      <c r="E10" s="14">
        <v>2</v>
      </c>
      <c r="F10" s="15">
        <v>88</v>
      </c>
      <c r="G10" s="16">
        <v>80.98</v>
      </c>
    </row>
    <row r="11" ht="15.75" spans="1:7">
      <c r="A11" s="10" t="str">
        <f t="shared" si="0"/>
        <v>020</v>
      </c>
      <c r="B11" s="10" t="s">
        <v>10</v>
      </c>
      <c r="C11" s="10" t="str">
        <f>"舒小亚"</f>
        <v>舒小亚</v>
      </c>
      <c r="D11" s="10" t="str">
        <f>"2021023624"</f>
        <v>2021023624</v>
      </c>
      <c r="E11" s="14">
        <v>1</v>
      </c>
      <c r="F11" s="15">
        <v>91.3</v>
      </c>
      <c r="G11" s="16">
        <v>80.375</v>
      </c>
    </row>
    <row r="12" ht="15.75" spans="1:7">
      <c r="A12" s="10" t="str">
        <f t="shared" si="0"/>
        <v>020</v>
      </c>
      <c r="B12" s="10" t="s">
        <v>10</v>
      </c>
      <c r="C12" s="10" t="str">
        <f>"何美元"</f>
        <v>何美元</v>
      </c>
      <c r="D12" s="10" t="str">
        <f>"2021023603"</f>
        <v>2021023603</v>
      </c>
      <c r="E12" s="14">
        <v>3</v>
      </c>
      <c r="F12" s="15">
        <v>80</v>
      </c>
      <c r="G12" s="16">
        <v>74.015</v>
      </c>
    </row>
    <row r="13" s="3" customFormat="true" ht="15.75" spans="1:10">
      <c r="A13" s="10" t="str">
        <f t="shared" ref="A13:A15" si="1">"017"</f>
        <v>017</v>
      </c>
      <c r="B13" s="10" t="s">
        <v>11</v>
      </c>
      <c r="C13" s="10" t="str">
        <f>"田依雨"</f>
        <v>田依雨</v>
      </c>
      <c r="D13" s="10" t="str">
        <f>"2021021502"</f>
        <v>2021021502</v>
      </c>
      <c r="E13" s="14">
        <v>1</v>
      </c>
      <c r="F13" s="15">
        <v>92.2</v>
      </c>
      <c r="G13" s="16">
        <v>91.205</v>
      </c>
      <c r="H13" s="19"/>
      <c r="I13" s="19"/>
      <c r="J13" s="19"/>
    </row>
    <row r="14" ht="15.75" spans="1:7">
      <c r="A14" s="10" t="str">
        <f t="shared" si="1"/>
        <v>017</v>
      </c>
      <c r="B14" s="10" t="s">
        <v>11</v>
      </c>
      <c r="C14" s="10" t="str">
        <f>"李苏曼"</f>
        <v>李苏曼</v>
      </c>
      <c r="D14" s="10" t="str">
        <f>"2021021401"</f>
        <v>2021021401</v>
      </c>
      <c r="E14" s="14">
        <v>3</v>
      </c>
      <c r="F14" s="15">
        <v>91</v>
      </c>
      <c r="G14" s="16">
        <v>88.73</v>
      </c>
    </row>
    <row r="15" ht="15.75" spans="1:7">
      <c r="A15" s="10" t="str">
        <f t="shared" si="1"/>
        <v>017</v>
      </c>
      <c r="B15" s="10" t="s">
        <v>11</v>
      </c>
      <c r="C15" s="10" t="str">
        <f>"尹雯婷"</f>
        <v>尹雯婷</v>
      </c>
      <c r="D15" s="10" t="str">
        <f>"2021021512"</f>
        <v>2021021512</v>
      </c>
      <c r="E15" s="14">
        <v>2</v>
      </c>
      <c r="F15" s="15">
        <v>90.3</v>
      </c>
      <c r="G15" s="16">
        <v>87.08</v>
      </c>
    </row>
    <row r="16" s="3" customFormat="true" ht="15.75" spans="1:10">
      <c r="A16" s="10" t="str">
        <f t="shared" ref="A16:A24" si="2">"010"</f>
        <v>010</v>
      </c>
      <c r="B16" s="10" t="s">
        <v>12</v>
      </c>
      <c r="C16" s="10" t="str">
        <f>"刘晴香"</f>
        <v>刘晴香</v>
      </c>
      <c r="D16" s="10" t="str">
        <f>"2021012426"</f>
        <v>2021012426</v>
      </c>
      <c r="E16" s="14">
        <v>1</v>
      </c>
      <c r="F16" s="15">
        <v>88.67</v>
      </c>
      <c r="G16" s="16">
        <v>80.335</v>
      </c>
      <c r="H16" s="19"/>
      <c r="I16" s="19"/>
      <c r="J16" s="19"/>
    </row>
    <row r="17" s="3" customFormat="true" ht="15.75" spans="1:10">
      <c r="A17" s="10" t="str">
        <f t="shared" si="2"/>
        <v>010</v>
      </c>
      <c r="B17" s="10" t="s">
        <v>12</v>
      </c>
      <c r="C17" s="10" t="str">
        <f>"黄火锴"</f>
        <v>黄火锴</v>
      </c>
      <c r="D17" s="10" t="str">
        <f>"2021012515"</f>
        <v>2021012515</v>
      </c>
      <c r="E17" s="14">
        <v>8</v>
      </c>
      <c r="F17" s="15">
        <v>87</v>
      </c>
      <c r="G17" s="16">
        <v>80.125</v>
      </c>
      <c r="H17" s="19"/>
      <c r="I17" s="19"/>
      <c r="J17" s="19"/>
    </row>
    <row r="18" s="3" customFormat="true" ht="15.75" spans="1:10">
      <c r="A18" s="10" t="str">
        <f t="shared" si="2"/>
        <v>010</v>
      </c>
      <c r="B18" s="10" t="s">
        <v>12</v>
      </c>
      <c r="C18" s="10" t="str">
        <f>"朱晨"</f>
        <v>朱晨</v>
      </c>
      <c r="D18" s="10" t="str">
        <f>"2021012403"</f>
        <v>2021012403</v>
      </c>
      <c r="E18" s="14">
        <v>4</v>
      </c>
      <c r="F18" s="15">
        <v>84.67</v>
      </c>
      <c r="G18" s="16">
        <v>79.71</v>
      </c>
      <c r="H18" s="19"/>
      <c r="I18" s="19"/>
      <c r="J18" s="19"/>
    </row>
    <row r="19" s="3" customFormat="true" ht="15.75" spans="1:10">
      <c r="A19" s="10" t="str">
        <f t="shared" si="2"/>
        <v>010</v>
      </c>
      <c r="B19" s="10" t="s">
        <v>12</v>
      </c>
      <c r="C19" s="10" t="str">
        <f>"刘藤藤"</f>
        <v>刘藤藤</v>
      </c>
      <c r="D19" s="10" t="str">
        <f>"2021012429"</f>
        <v>2021012429</v>
      </c>
      <c r="E19" s="14">
        <v>7</v>
      </c>
      <c r="F19" s="15">
        <v>88.67</v>
      </c>
      <c r="G19" s="16">
        <v>79.46</v>
      </c>
      <c r="H19" s="19"/>
      <c r="I19" s="19"/>
      <c r="J19" s="19"/>
    </row>
    <row r="20" ht="15.75" spans="1:7">
      <c r="A20" s="10" t="str">
        <f t="shared" si="2"/>
        <v>010</v>
      </c>
      <c r="B20" s="10" t="s">
        <v>12</v>
      </c>
      <c r="C20" s="10" t="str">
        <f>"张婷"</f>
        <v>张婷</v>
      </c>
      <c r="D20" s="10" t="str">
        <f>"2021012406"</f>
        <v>2021012406</v>
      </c>
      <c r="E20" s="14">
        <v>9</v>
      </c>
      <c r="F20" s="15">
        <v>88</v>
      </c>
      <c r="G20" s="16">
        <v>79.125</v>
      </c>
    </row>
    <row r="21" ht="15.75" spans="1:7">
      <c r="A21" s="10" t="str">
        <f t="shared" si="2"/>
        <v>010</v>
      </c>
      <c r="B21" s="10" t="s">
        <v>12</v>
      </c>
      <c r="C21" s="10" t="str">
        <f>"滕敦荣"</f>
        <v>滕敦荣</v>
      </c>
      <c r="D21" s="10" t="str">
        <f>"2021012423"</f>
        <v>2021012423</v>
      </c>
      <c r="E21" s="14">
        <v>6</v>
      </c>
      <c r="F21" s="15">
        <v>86.67</v>
      </c>
      <c r="G21" s="16">
        <v>79.085</v>
      </c>
    </row>
    <row r="22" ht="15.75" spans="1:7">
      <c r="A22" s="10" t="str">
        <f t="shared" si="2"/>
        <v>010</v>
      </c>
      <c r="B22" s="10" t="s">
        <v>12</v>
      </c>
      <c r="C22" s="10" t="str">
        <f>"张奇"</f>
        <v>张奇</v>
      </c>
      <c r="D22" s="10" t="str">
        <f>"2021012503"</f>
        <v>2021012503</v>
      </c>
      <c r="E22" s="14">
        <v>3</v>
      </c>
      <c r="F22" s="15">
        <v>82.33</v>
      </c>
      <c r="G22" s="16">
        <v>76.665</v>
      </c>
    </row>
    <row r="23" ht="15.75" spans="1:7">
      <c r="A23" s="10" t="str">
        <f t="shared" si="2"/>
        <v>010</v>
      </c>
      <c r="B23" s="10" t="s">
        <v>12</v>
      </c>
      <c r="C23" s="10" t="str">
        <f>"张娟"</f>
        <v>张娟</v>
      </c>
      <c r="D23" s="10" t="str">
        <f>"2021012419"</f>
        <v>2021012419</v>
      </c>
      <c r="E23" s="14">
        <v>5</v>
      </c>
      <c r="F23" s="15">
        <v>84.33</v>
      </c>
      <c r="G23" s="16">
        <v>76.665</v>
      </c>
    </row>
    <row r="24" ht="15.75" spans="1:7">
      <c r="A24" s="10" t="str">
        <f t="shared" si="2"/>
        <v>010</v>
      </c>
      <c r="B24" s="10" t="s">
        <v>12</v>
      </c>
      <c r="C24" s="10" t="str">
        <f>"彭慧琳"</f>
        <v>彭慧琳</v>
      </c>
      <c r="D24" s="10" t="str">
        <f>"2021012323"</f>
        <v>2021012323</v>
      </c>
      <c r="E24" s="14">
        <v>2</v>
      </c>
      <c r="F24" s="15">
        <v>82.33</v>
      </c>
      <c r="G24" s="16">
        <v>75.665</v>
      </c>
    </row>
    <row r="25" s="3" customFormat="true" ht="15.75" spans="1:10">
      <c r="A25" s="10" t="str">
        <f>"016"</f>
        <v>016</v>
      </c>
      <c r="B25" s="10" t="s">
        <v>13</v>
      </c>
      <c r="C25" s="10" t="str">
        <f>"向玉葵"</f>
        <v>向玉葵</v>
      </c>
      <c r="D25" s="10" t="str">
        <f>"2021020907"</f>
        <v>2021020907</v>
      </c>
      <c r="E25" s="14">
        <v>2</v>
      </c>
      <c r="F25" s="15">
        <v>92.3</v>
      </c>
      <c r="G25" s="16">
        <v>82.185</v>
      </c>
      <c r="H25" s="19"/>
      <c r="I25" s="19"/>
      <c r="J25" s="19"/>
    </row>
    <row r="26" ht="15.75" spans="1:7">
      <c r="A26" s="10" t="str">
        <f>"016"</f>
        <v>016</v>
      </c>
      <c r="B26" s="10" t="s">
        <v>13</v>
      </c>
      <c r="C26" s="10" t="str">
        <f>"张建旭"</f>
        <v>张建旭</v>
      </c>
      <c r="D26" s="10" t="str">
        <f>"2021020910"</f>
        <v>2021020910</v>
      </c>
      <c r="E26" s="14">
        <v>1</v>
      </c>
      <c r="F26" s="15">
        <v>90</v>
      </c>
      <c r="G26" s="16">
        <v>77.755</v>
      </c>
    </row>
    <row r="27" s="3" customFormat="true" ht="15.75" spans="1:10">
      <c r="A27" s="10" t="str">
        <f>"019"</f>
        <v>019</v>
      </c>
      <c r="B27" s="10" t="s">
        <v>14</v>
      </c>
      <c r="C27" s="10" t="str">
        <f>"肖莼"</f>
        <v>肖莼</v>
      </c>
      <c r="D27" s="10" t="str">
        <f>"2021022609"</f>
        <v>2021022609</v>
      </c>
      <c r="E27" s="14">
        <v>1</v>
      </c>
      <c r="F27" s="15">
        <v>95.33</v>
      </c>
      <c r="G27" s="16">
        <v>81.815</v>
      </c>
      <c r="H27" s="19"/>
      <c r="I27" s="19"/>
      <c r="J27" s="19"/>
    </row>
    <row r="28" ht="15.75" spans="1:7">
      <c r="A28" s="10" t="str">
        <f>"019"</f>
        <v>019</v>
      </c>
      <c r="B28" s="10" t="s">
        <v>14</v>
      </c>
      <c r="C28" s="10" t="str">
        <f>"陈江"</f>
        <v>陈江</v>
      </c>
      <c r="D28" s="10" t="str">
        <f>"2021022702"</f>
        <v>2021022702</v>
      </c>
      <c r="E28" s="14">
        <v>2</v>
      </c>
      <c r="F28" s="15">
        <v>90.33</v>
      </c>
      <c r="G28" s="16">
        <v>79.285</v>
      </c>
    </row>
    <row r="29" s="3" customFormat="true" ht="15.75" spans="1:10">
      <c r="A29" s="10" t="str">
        <f>"013"</f>
        <v>013</v>
      </c>
      <c r="B29" s="10" t="s">
        <v>15</v>
      </c>
      <c r="C29" s="10" t="str">
        <f>"沈崇轩"</f>
        <v>沈崇轩</v>
      </c>
      <c r="D29" s="10" t="str">
        <f>"2021014730"</f>
        <v>2021014730</v>
      </c>
      <c r="E29" s="14">
        <v>2</v>
      </c>
      <c r="F29" s="15">
        <v>84.8</v>
      </c>
      <c r="G29" s="16">
        <v>81.775</v>
      </c>
      <c r="H29" s="19"/>
      <c r="I29" s="19"/>
      <c r="J29" s="19"/>
    </row>
    <row r="30" ht="15.75" spans="1:7">
      <c r="A30" s="10" t="str">
        <f>"013"</f>
        <v>013</v>
      </c>
      <c r="B30" s="10" t="s">
        <v>15</v>
      </c>
      <c r="C30" s="10" t="str">
        <f>"林槺"</f>
        <v>林槺</v>
      </c>
      <c r="D30" s="10" t="str">
        <f>"2021014721"</f>
        <v>2021014721</v>
      </c>
      <c r="E30" s="14">
        <v>1</v>
      </c>
      <c r="F30" s="15">
        <v>83.2</v>
      </c>
      <c r="G30" s="16">
        <v>73.725</v>
      </c>
    </row>
    <row r="31" s="3" customFormat="true" ht="15.75" spans="1:10">
      <c r="A31" s="10" t="str">
        <f>"018"</f>
        <v>018</v>
      </c>
      <c r="B31" s="10" t="s">
        <v>16</v>
      </c>
      <c r="C31" s="10" t="str">
        <f>"刘丹虹"</f>
        <v>刘丹虹</v>
      </c>
      <c r="D31" s="10" t="str">
        <f>"2021021824"</f>
        <v>2021021824</v>
      </c>
      <c r="E31" s="14">
        <v>2</v>
      </c>
      <c r="F31" s="15">
        <v>88.33</v>
      </c>
      <c r="G31" s="16">
        <v>78.665</v>
      </c>
      <c r="H31" s="19"/>
      <c r="I31" s="19"/>
      <c r="J31" s="19"/>
    </row>
    <row r="32" ht="15.75" spans="1:7">
      <c r="A32" s="10" t="str">
        <f>"018"</f>
        <v>018</v>
      </c>
      <c r="B32" s="10" t="s">
        <v>16</v>
      </c>
      <c r="C32" s="10" t="str">
        <f>"廖美君"</f>
        <v>廖美君</v>
      </c>
      <c r="D32" s="10" t="str">
        <f>"2021021903"</f>
        <v>2021021903</v>
      </c>
      <c r="E32" s="14">
        <v>1</v>
      </c>
      <c r="F32" s="15">
        <v>82</v>
      </c>
      <c r="G32" s="16">
        <v>74</v>
      </c>
    </row>
    <row r="33" s="3" customFormat="true" ht="15.75" spans="1:10">
      <c r="A33" s="10" t="str">
        <f t="shared" ref="A33:A35" si="3">"015"</f>
        <v>015</v>
      </c>
      <c r="B33" s="10" t="s">
        <v>17</v>
      </c>
      <c r="C33" s="10" t="str">
        <f>"谢侠"</f>
        <v>谢侠</v>
      </c>
      <c r="D33" s="10" t="str">
        <f>"2021020217"</f>
        <v>2021020217</v>
      </c>
      <c r="E33" s="14">
        <v>2</v>
      </c>
      <c r="F33" s="15">
        <v>89.8</v>
      </c>
      <c r="G33" s="16">
        <v>86.977</v>
      </c>
      <c r="H33" s="19"/>
      <c r="I33" s="19"/>
      <c r="J33" s="19"/>
    </row>
    <row r="34" ht="15.75" spans="1:7">
      <c r="A34" s="10" t="str">
        <f t="shared" si="3"/>
        <v>015</v>
      </c>
      <c r="B34" s="10" t="s">
        <v>17</v>
      </c>
      <c r="C34" s="10" t="str">
        <f>"谢鑫"</f>
        <v>谢鑫</v>
      </c>
      <c r="D34" s="10" t="str">
        <f>"2021020125"</f>
        <v>2021020125</v>
      </c>
      <c r="E34" s="14">
        <v>3</v>
      </c>
      <c r="F34" s="15">
        <v>91.3</v>
      </c>
      <c r="G34" s="16">
        <v>86.627</v>
      </c>
    </row>
    <row r="35" ht="15.75" spans="1:7">
      <c r="A35" s="10" t="str">
        <f t="shared" si="3"/>
        <v>015</v>
      </c>
      <c r="B35" s="10" t="s">
        <v>17</v>
      </c>
      <c r="C35" s="10" t="str">
        <f>"吴珮溱"</f>
        <v>吴珮溱</v>
      </c>
      <c r="D35" s="10" t="str">
        <f>"2021020120"</f>
        <v>2021020120</v>
      </c>
      <c r="E35" s="14">
        <v>1</v>
      </c>
      <c r="F35" s="15">
        <v>88</v>
      </c>
      <c r="G35" s="16">
        <v>84.348</v>
      </c>
    </row>
    <row r="36" s="3" customFormat="true" ht="15.75" spans="1:10">
      <c r="A36" s="10" t="str">
        <f t="shared" ref="A36:A39" si="4">"011"</f>
        <v>011</v>
      </c>
      <c r="B36" s="10" t="s">
        <v>18</v>
      </c>
      <c r="C36" s="10" t="str">
        <f>"唐静怡"</f>
        <v>唐静怡</v>
      </c>
      <c r="D36" s="10" t="str">
        <f>"2021014005"</f>
        <v>2021014005</v>
      </c>
      <c r="E36" s="14">
        <v>1</v>
      </c>
      <c r="F36" s="15">
        <v>89</v>
      </c>
      <c r="G36" s="16">
        <v>88</v>
      </c>
      <c r="H36" s="19"/>
      <c r="I36" s="19"/>
      <c r="J36" s="19"/>
    </row>
    <row r="37" s="3" customFormat="true" ht="15.75" spans="1:10">
      <c r="A37" s="10" t="str">
        <f t="shared" si="4"/>
        <v>011</v>
      </c>
      <c r="B37" s="10" t="s">
        <v>18</v>
      </c>
      <c r="C37" s="10" t="str">
        <f>"滕瑛"</f>
        <v>滕瑛</v>
      </c>
      <c r="D37" s="10" t="str">
        <f>"2021013823"</f>
        <v>2021013823</v>
      </c>
      <c r="E37" s="14">
        <v>3</v>
      </c>
      <c r="F37" s="15">
        <v>87</v>
      </c>
      <c r="G37" s="16">
        <v>86.5</v>
      </c>
      <c r="H37" s="19"/>
      <c r="I37" s="19"/>
      <c r="J37" s="19"/>
    </row>
    <row r="38" ht="15.75" spans="1:7">
      <c r="A38" s="10" t="str">
        <f t="shared" si="4"/>
        <v>011</v>
      </c>
      <c r="B38" s="10" t="s">
        <v>18</v>
      </c>
      <c r="C38" s="10" t="str">
        <f>"游玉梅"</f>
        <v>游玉梅</v>
      </c>
      <c r="D38" s="10" t="str">
        <f>"2021014118"</f>
        <v>2021014118</v>
      </c>
      <c r="E38" s="14">
        <v>4</v>
      </c>
      <c r="F38" s="15">
        <v>85</v>
      </c>
      <c r="G38" s="16">
        <v>85.375</v>
      </c>
    </row>
    <row r="39" ht="15.75" spans="1:7">
      <c r="A39" s="10" t="str">
        <f t="shared" si="4"/>
        <v>011</v>
      </c>
      <c r="B39" s="10" t="s">
        <v>18</v>
      </c>
      <c r="C39" s="10" t="str">
        <f>"张晓青"</f>
        <v>张晓青</v>
      </c>
      <c r="D39" s="10" t="str">
        <f>"2021013623"</f>
        <v>2021013623</v>
      </c>
      <c r="E39" s="14" t="s">
        <v>19</v>
      </c>
      <c r="F39" s="15">
        <v>0</v>
      </c>
      <c r="G39" s="16">
        <v>43.375</v>
      </c>
    </row>
    <row r="40" s="3" customFormat="true" ht="15.75" spans="1:10">
      <c r="A40" s="10" t="str">
        <f t="shared" ref="A40:A44" si="5">"009"</f>
        <v>009</v>
      </c>
      <c r="B40" s="10" t="s">
        <v>20</v>
      </c>
      <c r="C40" s="10" t="str">
        <f>"姜丽丽"</f>
        <v>姜丽丽</v>
      </c>
      <c r="D40" s="10" t="str">
        <f>"2021010430"</f>
        <v>2021010430</v>
      </c>
      <c r="E40" s="14">
        <v>5</v>
      </c>
      <c r="F40" s="15">
        <v>94.33</v>
      </c>
      <c r="G40" s="16">
        <v>83.99</v>
      </c>
      <c r="H40" s="19"/>
      <c r="I40" s="19"/>
      <c r="J40" s="19"/>
    </row>
    <row r="41" s="3" customFormat="true" ht="15.75" spans="1:10">
      <c r="A41" s="10" t="str">
        <f t="shared" si="5"/>
        <v>009</v>
      </c>
      <c r="B41" s="10" t="s">
        <v>20</v>
      </c>
      <c r="C41" s="10" t="str">
        <f>"雷雨晴"</f>
        <v>雷雨晴</v>
      </c>
      <c r="D41" s="10" t="str">
        <f>"2021010408"</f>
        <v>2021010408</v>
      </c>
      <c r="E41" s="14">
        <v>3</v>
      </c>
      <c r="F41" s="15">
        <v>90.67</v>
      </c>
      <c r="G41" s="16">
        <v>81.685</v>
      </c>
      <c r="H41" s="19"/>
      <c r="I41" s="19"/>
      <c r="J41" s="19"/>
    </row>
    <row r="42" s="3" customFormat="true" ht="15.75" spans="1:10">
      <c r="A42" s="10" t="str">
        <f t="shared" si="5"/>
        <v>009</v>
      </c>
      <c r="B42" s="10" t="s">
        <v>20</v>
      </c>
      <c r="C42" s="10" t="str">
        <f>"曾祥勇"</f>
        <v>曾祥勇</v>
      </c>
      <c r="D42" s="10" t="str">
        <f>"2021010402"</f>
        <v>2021010402</v>
      </c>
      <c r="E42" s="14">
        <v>1</v>
      </c>
      <c r="F42" s="15">
        <v>86.67</v>
      </c>
      <c r="G42" s="16">
        <v>81.11</v>
      </c>
      <c r="H42" s="19"/>
      <c r="I42" s="19"/>
      <c r="J42" s="19"/>
    </row>
    <row r="43" ht="15.75" spans="1:7">
      <c r="A43" s="10" t="str">
        <f t="shared" si="5"/>
        <v>009</v>
      </c>
      <c r="B43" s="10" t="s">
        <v>20</v>
      </c>
      <c r="C43" s="10" t="str">
        <f>"曾阁"</f>
        <v>曾阁</v>
      </c>
      <c r="D43" s="10" t="str">
        <f>"2021010218"</f>
        <v>2021010218</v>
      </c>
      <c r="E43" s="14">
        <v>2</v>
      </c>
      <c r="F43" s="15">
        <v>86.33</v>
      </c>
      <c r="G43" s="16">
        <v>79.04</v>
      </c>
    </row>
    <row r="44" ht="15.75" spans="1:7">
      <c r="A44" s="10" t="str">
        <f t="shared" si="5"/>
        <v>009</v>
      </c>
      <c r="B44" s="10" t="s">
        <v>20</v>
      </c>
      <c r="C44" s="10" t="str">
        <f>"李金莲"</f>
        <v>李金莲</v>
      </c>
      <c r="D44" s="10" t="str">
        <f>"2021010508"</f>
        <v>2021010508</v>
      </c>
      <c r="E44" s="14">
        <v>4</v>
      </c>
      <c r="F44" s="15">
        <v>82.33</v>
      </c>
      <c r="G44" s="16">
        <v>76.115</v>
      </c>
    </row>
    <row r="45" s="3" customFormat="true" ht="15.75" spans="1:10">
      <c r="A45" s="10" t="str">
        <f>"006"</f>
        <v>006</v>
      </c>
      <c r="B45" s="10" t="s">
        <v>21</v>
      </c>
      <c r="C45" s="10" t="str">
        <f>"谭琪"</f>
        <v>谭琪</v>
      </c>
      <c r="D45" s="10" t="str">
        <f>"2021014629"</f>
        <v>2021014629</v>
      </c>
      <c r="E45" s="14">
        <v>1</v>
      </c>
      <c r="F45" s="15">
        <v>88.6</v>
      </c>
      <c r="G45" s="16">
        <v>81.95</v>
      </c>
      <c r="H45" s="19"/>
      <c r="I45" s="19"/>
      <c r="J45" s="19"/>
    </row>
    <row r="46" ht="15.75" spans="1:7">
      <c r="A46" s="10" t="str">
        <f>"006"</f>
        <v>006</v>
      </c>
      <c r="B46" s="10" t="s">
        <v>21</v>
      </c>
      <c r="C46" s="10" t="str">
        <f>"陈靓"</f>
        <v>陈靓</v>
      </c>
      <c r="D46" s="10" t="str">
        <f>"2021014710"</f>
        <v>2021014710</v>
      </c>
      <c r="E46" s="14">
        <v>4</v>
      </c>
      <c r="F46" s="15">
        <v>85</v>
      </c>
      <c r="G46" s="16">
        <v>80.425</v>
      </c>
    </row>
    <row r="47" s="3" customFormat="true" ht="15.75" spans="1:10">
      <c r="A47" s="10" t="str">
        <f t="shared" ref="A47:A50" si="6">"008"</f>
        <v>008</v>
      </c>
      <c r="B47" s="10" t="s">
        <v>22</v>
      </c>
      <c r="C47" s="10" t="str">
        <f>"熊梦杰"</f>
        <v>熊梦杰</v>
      </c>
      <c r="D47" s="10" t="str">
        <f>"2021015026"</f>
        <v>2021015026</v>
      </c>
      <c r="E47" s="14">
        <v>3</v>
      </c>
      <c r="F47" s="15">
        <v>89.4</v>
      </c>
      <c r="G47" s="16">
        <v>82.175</v>
      </c>
      <c r="H47" s="19"/>
      <c r="I47" s="19"/>
      <c r="J47" s="19"/>
    </row>
    <row r="48" s="3" customFormat="true" ht="15.75" spans="1:10">
      <c r="A48" s="10" t="str">
        <f t="shared" si="6"/>
        <v>008</v>
      </c>
      <c r="B48" s="10" t="s">
        <v>22</v>
      </c>
      <c r="C48" s="10" t="str">
        <f>"李纯"</f>
        <v>李纯</v>
      </c>
      <c r="D48" s="10" t="str">
        <f>"2021015016"</f>
        <v>2021015016</v>
      </c>
      <c r="E48" s="14">
        <v>2</v>
      </c>
      <c r="F48" s="15">
        <v>86.9</v>
      </c>
      <c r="G48" s="16">
        <v>81.75</v>
      </c>
      <c r="H48" s="19"/>
      <c r="I48" s="19"/>
      <c r="J48" s="19"/>
    </row>
    <row r="49" ht="15.75" spans="1:7">
      <c r="A49" s="10" t="str">
        <f t="shared" si="6"/>
        <v>008</v>
      </c>
      <c r="B49" s="10" t="s">
        <v>22</v>
      </c>
      <c r="C49" s="10" t="str">
        <f>"赵元元"</f>
        <v>赵元元</v>
      </c>
      <c r="D49" s="10" t="str">
        <f>"2021015003"</f>
        <v>2021015003</v>
      </c>
      <c r="E49" s="14">
        <v>1</v>
      </c>
      <c r="F49" s="15">
        <v>84.3</v>
      </c>
      <c r="G49" s="16">
        <v>79.8</v>
      </c>
    </row>
    <row r="50" ht="15.75" spans="1:7">
      <c r="A50" s="10" t="str">
        <f t="shared" si="6"/>
        <v>008</v>
      </c>
      <c r="B50" s="10" t="s">
        <v>22</v>
      </c>
      <c r="C50" s="10" t="str">
        <f>"李思琦"</f>
        <v>李思琦</v>
      </c>
      <c r="D50" s="10" t="str">
        <f>"2021015018"</f>
        <v>2021015018</v>
      </c>
      <c r="E50" s="14">
        <v>4</v>
      </c>
      <c r="F50" s="15">
        <v>83.1</v>
      </c>
      <c r="G50" s="16">
        <v>78.575</v>
      </c>
    </row>
    <row r="51" s="3" customFormat="true" ht="15.75" spans="1:10">
      <c r="A51" s="10" t="str">
        <f>"002"</f>
        <v>002</v>
      </c>
      <c r="B51" s="10" t="s">
        <v>23</v>
      </c>
      <c r="C51" s="10" t="str">
        <f>"张璟萌"</f>
        <v>张璟萌</v>
      </c>
      <c r="D51" s="10" t="str">
        <f>"2021012316"</f>
        <v>2021012316</v>
      </c>
      <c r="E51" s="14">
        <v>1</v>
      </c>
      <c r="F51" s="15">
        <v>86.67</v>
      </c>
      <c r="G51" s="16">
        <v>78.085</v>
      </c>
      <c r="H51" s="19"/>
      <c r="I51" s="19"/>
      <c r="J51" s="19"/>
    </row>
    <row r="52" ht="15.75" spans="1:7">
      <c r="A52" s="10" t="str">
        <f>"002"</f>
        <v>002</v>
      </c>
      <c r="B52" s="10" t="s">
        <v>23</v>
      </c>
      <c r="C52" s="10" t="str">
        <f>"向雄志"</f>
        <v>向雄志</v>
      </c>
      <c r="D52" s="10" t="str">
        <f>"2021012320"</f>
        <v>2021012320</v>
      </c>
      <c r="E52" s="14">
        <v>2</v>
      </c>
      <c r="F52" s="15">
        <v>90.33</v>
      </c>
      <c r="G52" s="16">
        <v>76.165</v>
      </c>
    </row>
    <row r="53" s="3" customFormat="true" ht="15.75" spans="1:10">
      <c r="A53" s="10" t="str">
        <f t="shared" ref="A53:A56" si="7">"007"</f>
        <v>007</v>
      </c>
      <c r="B53" s="10" t="s">
        <v>24</v>
      </c>
      <c r="C53" s="10" t="str">
        <f>"吴胤霓"</f>
        <v>吴胤霓</v>
      </c>
      <c r="D53" s="10" t="str">
        <f>"2021014717"</f>
        <v>2021014717</v>
      </c>
      <c r="E53" s="14">
        <v>1</v>
      </c>
      <c r="F53" s="15">
        <v>87.2</v>
      </c>
      <c r="G53" s="16">
        <v>80.35</v>
      </c>
      <c r="H53" s="19"/>
      <c r="I53" s="19"/>
      <c r="J53" s="19"/>
    </row>
    <row r="54" s="3" customFormat="true" ht="15.75" spans="1:10">
      <c r="A54" s="10" t="str">
        <f t="shared" si="7"/>
        <v>007</v>
      </c>
      <c r="B54" s="10" t="s">
        <v>24</v>
      </c>
      <c r="C54" s="10" t="str">
        <f>"李丽萍"</f>
        <v>李丽萍</v>
      </c>
      <c r="D54" s="10" t="str">
        <f>"2021014718"</f>
        <v>2021014718</v>
      </c>
      <c r="E54" s="14">
        <v>2</v>
      </c>
      <c r="F54" s="15">
        <v>83.1</v>
      </c>
      <c r="G54" s="16">
        <v>77.425</v>
      </c>
      <c r="H54" s="19"/>
      <c r="I54" s="19"/>
      <c r="J54" s="19"/>
    </row>
    <row r="55" ht="15.75" spans="1:7">
      <c r="A55" s="10" t="str">
        <f t="shared" si="7"/>
        <v>007</v>
      </c>
      <c r="B55" s="10" t="s">
        <v>24</v>
      </c>
      <c r="C55" s="10" t="str">
        <f>"舒勇"</f>
        <v>舒勇</v>
      </c>
      <c r="D55" s="10" t="str">
        <f>"2021014720"</f>
        <v>2021014720</v>
      </c>
      <c r="E55" s="14">
        <v>4</v>
      </c>
      <c r="F55" s="15">
        <v>86.6</v>
      </c>
      <c r="G55" s="16">
        <v>77.175</v>
      </c>
    </row>
    <row r="56" ht="15.75" spans="1:7">
      <c r="A56" s="10" t="str">
        <f t="shared" si="7"/>
        <v>007</v>
      </c>
      <c r="B56" s="10" t="s">
        <v>24</v>
      </c>
      <c r="C56" s="10" t="str">
        <f>"田密"</f>
        <v>田密</v>
      </c>
      <c r="D56" s="10" t="str">
        <f>"2021014713"</f>
        <v>2021014713</v>
      </c>
      <c r="E56" s="14">
        <v>3</v>
      </c>
      <c r="F56" s="15">
        <v>86.5</v>
      </c>
      <c r="G56" s="16">
        <v>76.375</v>
      </c>
    </row>
    <row r="57" s="3" customFormat="true" ht="15.75" spans="1:10">
      <c r="A57" s="10" t="str">
        <f t="shared" ref="A57:A60" si="8">"004"</f>
        <v>004</v>
      </c>
      <c r="B57" s="10" t="s">
        <v>25</v>
      </c>
      <c r="C57" s="10" t="str">
        <f>"龙岭伶"</f>
        <v>龙岭伶</v>
      </c>
      <c r="D57" s="10" t="str">
        <f>"2021013328"</f>
        <v>2021013328</v>
      </c>
      <c r="E57" s="14">
        <v>2</v>
      </c>
      <c r="F57" s="15">
        <v>94.67</v>
      </c>
      <c r="G57" s="16">
        <v>89.96</v>
      </c>
      <c r="H57" s="19"/>
      <c r="I57" s="19"/>
      <c r="J57" s="19"/>
    </row>
    <row r="58" s="3" customFormat="true" ht="15.75" spans="1:10">
      <c r="A58" s="10" t="str">
        <f t="shared" si="8"/>
        <v>004</v>
      </c>
      <c r="B58" s="10" t="s">
        <v>25</v>
      </c>
      <c r="C58" s="10" t="str">
        <f>"林俊艳"</f>
        <v>林俊艳</v>
      </c>
      <c r="D58" s="10" t="str">
        <f>"2021013514"</f>
        <v>2021013514</v>
      </c>
      <c r="E58" s="14">
        <v>3</v>
      </c>
      <c r="F58" s="15">
        <v>88</v>
      </c>
      <c r="G58" s="16">
        <v>87.5</v>
      </c>
      <c r="H58" s="19"/>
      <c r="I58" s="19"/>
      <c r="J58" s="19"/>
    </row>
    <row r="59" ht="15.75" spans="1:7">
      <c r="A59" s="10" t="str">
        <f t="shared" si="8"/>
        <v>004</v>
      </c>
      <c r="B59" s="10" t="s">
        <v>25</v>
      </c>
      <c r="C59" s="10" t="str">
        <f>"舒秀花"</f>
        <v>舒秀花</v>
      </c>
      <c r="D59" s="10" t="str">
        <f>"2021013414"</f>
        <v>2021013414</v>
      </c>
      <c r="E59" s="14">
        <v>4</v>
      </c>
      <c r="F59" s="15">
        <v>92</v>
      </c>
      <c r="G59" s="16">
        <v>86.875</v>
      </c>
    </row>
    <row r="60" ht="15.75" spans="1:7">
      <c r="A60" s="10" t="str">
        <f t="shared" si="8"/>
        <v>004</v>
      </c>
      <c r="B60" s="10" t="s">
        <v>25</v>
      </c>
      <c r="C60" s="10" t="str">
        <f>"卢奕霖"</f>
        <v>卢奕霖</v>
      </c>
      <c r="D60" s="10" t="str">
        <f>"2021013325"</f>
        <v>2021013325</v>
      </c>
      <c r="E60" s="14">
        <v>1</v>
      </c>
      <c r="F60" s="15">
        <v>88</v>
      </c>
      <c r="G60" s="16">
        <v>84.875</v>
      </c>
    </row>
    <row r="61" s="3" customFormat="true" ht="15.75" spans="1:10">
      <c r="A61" s="10" t="str">
        <f t="shared" ref="A61:A66" si="9">"001"</f>
        <v>001</v>
      </c>
      <c r="B61" s="10" t="s">
        <v>26</v>
      </c>
      <c r="C61" s="10" t="str">
        <f>"向娜"</f>
        <v>向娜</v>
      </c>
      <c r="D61" s="10" t="str">
        <f>"2021010120"</f>
        <v>2021010120</v>
      </c>
      <c r="E61" s="14">
        <v>5</v>
      </c>
      <c r="F61" s="15">
        <v>94.67</v>
      </c>
      <c r="G61" s="16">
        <v>85.36</v>
      </c>
      <c r="H61" s="19"/>
      <c r="I61" s="19"/>
      <c r="J61" s="19"/>
    </row>
    <row r="62" s="3" customFormat="true" ht="15.75" spans="1:10">
      <c r="A62" s="10" t="str">
        <f t="shared" si="9"/>
        <v>001</v>
      </c>
      <c r="B62" s="10" t="s">
        <v>26</v>
      </c>
      <c r="C62" s="10" t="str">
        <f>"刘林玲"</f>
        <v>刘林玲</v>
      </c>
      <c r="D62" s="10" t="str">
        <f>"2021010107"</f>
        <v>2021010107</v>
      </c>
      <c r="E62" s="14">
        <v>3</v>
      </c>
      <c r="F62" s="15">
        <v>89.67</v>
      </c>
      <c r="G62" s="16">
        <v>82.16</v>
      </c>
      <c r="H62" s="19"/>
      <c r="I62" s="19"/>
      <c r="J62" s="19"/>
    </row>
    <row r="63" s="3" customFormat="true" ht="15.75" spans="1:10">
      <c r="A63" s="10" t="str">
        <f t="shared" si="9"/>
        <v>001</v>
      </c>
      <c r="B63" s="10" t="s">
        <v>26</v>
      </c>
      <c r="C63" s="10" t="str">
        <f>"张婷"</f>
        <v>张婷</v>
      </c>
      <c r="D63" s="10" t="str">
        <f>"2021010114"</f>
        <v>2021010114</v>
      </c>
      <c r="E63" s="14">
        <v>1</v>
      </c>
      <c r="F63" s="15">
        <v>86.67</v>
      </c>
      <c r="G63" s="16">
        <v>80.36</v>
      </c>
      <c r="H63" s="19"/>
      <c r="I63" s="19"/>
      <c r="J63" s="19"/>
    </row>
    <row r="64" ht="15.75" spans="1:7">
      <c r="A64" s="10" t="str">
        <f t="shared" si="9"/>
        <v>001</v>
      </c>
      <c r="B64" s="10" t="s">
        <v>26</v>
      </c>
      <c r="C64" s="10" t="str">
        <f>"应笑庆"</f>
        <v>应笑庆</v>
      </c>
      <c r="D64" s="10" t="str">
        <f>"2021010103"</f>
        <v>2021010103</v>
      </c>
      <c r="E64" s="14">
        <v>2</v>
      </c>
      <c r="F64" s="15">
        <v>92.67</v>
      </c>
      <c r="G64" s="16">
        <v>80.31</v>
      </c>
    </row>
    <row r="65" ht="15.75" spans="1:7">
      <c r="A65" s="10" t="str">
        <f t="shared" si="9"/>
        <v>001</v>
      </c>
      <c r="B65" s="10" t="s">
        <v>26</v>
      </c>
      <c r="C65" s="10" t="str">
        <f>"张慧"</f>
        <v>张慧</v>
      </c>
      <c r="D65" s="10" t="str">
        <f>"2021010106"</f>
        <v>2021010106</v>
      </c>
      <c r="E65" s="14">
        <v>4</v>
      </c>
      <c r="F65" s="15">
        <v>89.33</v>
      </c>
      <c r="G65" s="16">
        <v>78.99</v>
      </c>
    </row>
    <row r="66" ht="15.75" spans="1:7">
      <c r="A66" s="10" t="str">
        <f t="shared" si="9"/>
        <v>001</v>
      </c>
      <c r="B66" s="10" t="s">
        <v>26</v>
      </c>
      <c r="C66" s="10" t="str">
        <f>"易玲芝"</f>
        <v>易玲芝</v>
      </c>
      <c r="D66" s="10" t="str">
        <f>"2021010101"</f>
        <v>2021010101</v>
      </c>
      <c r="E66" s="14">
        <v>6</v>
      </c>
      <c r="F66" s="15">
        <v>80</v>
      </c>
      <c r="G66" s="16">
        <v>73.925</v>
      </c>
    </row>
    <row r="67" s="3" customFormat="true" ht="15.75" spans="1:10">
      <c r="A67" s="10" t="str">
        <f t="shared" ref="A67:A70" si="10">"005"</f>
        <v>005</v>
      </c>
      <c r="B67" s="10" t="s">
        <v>27</v>
      </c>
      <c r="C67" s="10" t="str">
        <f>"陈伍玲"</f>
        <v>陈伍玲</v>
      </c>
      <c r="D67" s="10" t="str">
        <f>"2021014506"</f>
        <v>2021014506</v>
      </c>
      <c r="E67" s="14">
        <v>4</v>
      </c>
      <c r="F67" s="15">
        <v>94.33</v>
      </c>
      <c r="G67" s="16">
        <v>82.315</v>
      </c>
      <c r="H67" s="19"/>
      <c r="I67" s="19"/>
      <c r="J67" s="19"/>
    </row>
    <row r="68" s="3" customFormat="true" ht="15.75" spans="1:10">
      <c r="A68" s="10" t="str">
        <f t="shared" si="10"/>
        <v>005</v>
      </c>
      <c r="B68" s="10" t="s">
        <v>27</v>
      </c>
      <c r="C68" s="10" t="str">
        <f>"杨燕萍"</f>
        <v>杨燕萍</v>
      </c>
      <c r="D68" s="10" t="str">
        <f>"2021014508"</f>
        <v>2021014508</v>
      </c>
      <c r="E68" s="14">
        <v>2</v>
      </c>
      <c r="F68" s="15">
        <v>90</v>
      </c>
      <c r="G68" s="16">
        <v>80.95</v>
      </c>
      <c r="H68" s="19"/>
      <c r="I68" s="19"/>
      <c r="J68" s="19"/>
    </row>
    <row r="69" ht="15.75" spans="1:7">
      <c r="A69" s="10" t="str">
        <f t="shared" si="10"/>
        <v>005</v>
      </c>
      <c r="B69" s="10" t="s">
        <v>27</v>
      </c>
      <c r="C69" s="10" t="str">
        <f>"龙海英"</f>
        <v>龙海英</v>
      </c>
      <c r="D69" s="10" t="str">
        <f>"2021014524"</f>
        <v>2021014524</v>
      </c>
      <c r="E69" s="14">
        <v>1</v>
      </c>
      <c r="F69" s="15">
        <v>82.33</v>
      </c>
      <c r="G69" s="16">
        <v>79.715</v>
      </c>
    </row>
    <row r="70" ht="15.75" spans="1:7">
      <c r="A70" s="10" t="str">
        <f t="shared" si="10"/>
        <v>005</v>
      </c>
      <c r="B70" s="10" t="s">
        <v>27</v>
      </c>
      <c r="C70" s="10" t="str">
        <f>"时宝琦"</f>
        <v>时宝琦</v>
      </c>
      <c r="D70" s="10" t="str">
        <f>"2021014515"</f>
        <v>2021014515</v>
      </c>
      <c r="E70" s="14">
        <v>3</v>
      </c>
      <c r="F70" s="15">
        <v>86</v>
      </c>
      <c r="G70" s="16">
        <v>78.075</v>
      </c>
    </row>
    <row r="71" s="3" customFormat="true" ht="15.75" spans="1:10">
      <c r="A71" s="20" t="s">
        <v>28</v>
      </c>
      <c r="B71" s="9" t="s">
        <v>29</v>
      </c>
      <c r="C71" s="10" t="s">
        <v>30</v>
      </c>
      <c r="D71" s="10" t="s">
        <v>31</v>
      </c>
      <c r="E71" s="14">
        <v>15</v>
      </c>
      <c r="F71" s="10">
        <v>96</v>
      </c>
      <c r="G71" s="10">
        <v>96</v>
      </c>
      <c r="H71" s="19"/>
      <c r="I71" s="19"/>
      <c r="J71" s="19"/>
    </row>
    <row r="72" ht="15.75" spans="1:7">
      <c r="A72" s="20" t="s">
        <v>28</v>
      </c>
      <c r="B72" s="10" t="s">
        <v>29</v>
      </c>
      <c r="C72" s="10" t="s">
        <v>32</v>
      </c>
      <c r="D72" s="10" t="s">
        <v>33</v>
      </c>
      <c r="E72" s="14">
        <v>10</v>
      </c>
      <c r="F72" s="10">
        <v>94.67</v>
      </c>
      <c r="G72" s="10">
        <v>94.67</v>
      </c>
    </row>
    <row r="73" ht="15.75" spans="1:7">
      <c r="A73" s="20" t="s">
        <v>28</v>
      </c>
      <c r="B73" s="10" t="s">
        <v>29</v>
      </c>
      <c r="C73" s="10" t="s">
        <v>34</v>
      </c>
      <c r="D73" s="10" t="s">
        <v>35</v>
      </c>
      <c r="E73" s="14">
        <v>8</v>
      </c>
      <c r="F73" s="10">
        <v>94.33</v>
      </c>
      <c r="G73" s="10">
        <v>94.33</v>
      </c>
    </row>
    <row r="74" ht="15.75" spans="1:7">
      <c r="A74" s="20" t="s">
        <v>28</v>
      </c>
      <c r="B74" s="10" t="s">
        <v>29</v>
      </c>
      <c r="C74" s="10" t="s">
        <v>36</v>
      </c>
      <c r="D74" s="10" t="s">
        <v>37</v>
      </c>
      <c r="E74" s="14">
        <v>24</v>
      </c>
      <c r="F74" s="10">
        <v>94</v>
      </c>
      <c r="G74" s="10">
        <v>94</v>
      </c>
    </row>
    <row r="75" ht="15.75" spans="1:7">
      <c r="A75" s="20" t="s">
        <v>28</v>
      </c>
      <c r="B75" s="9" t="s">
        <v>29</v>
      </c>
      <c r="C75" s="10" t="s">
        <v>38</v>
      </c>
      <c r="D75" s="10" t="s">
        <v>39</v>
      </c>
      <c r="E75" s="14">
        <v>3</v>
      </c>
      <c r="F75" s="10">
        <v>93</v>
      </c>
      <c r="G75" s="10">
        <v>93</v>
      </c>
    </row>
    <row r="76" ht="15.75" spans="1:7">
      <c r="A76" s="20" t="s">
        <v>28</v>
      </c>
      <c r="B76" s="10" t="s">
        <v>29</v>
      </c>
      <c r="C76" s="10" t="s">
        <v>40</v>
      </c>
      <c r="D76" s="10" t="s">
        <v>41</v>
      </c>
      <c r="E76" s="14">
        <v>6</v>
      </c>
      <c r="F76" s="10">
        <v>92</v>
      </c>
      <c r="G76" s="10">
        <v>92</v>
      </c>
    </row>
    <row r="77" ht="15.75" spans="1:7">
      <c r="A77" s="20" t="s">
        <v>28</v>
      </c>
      <c r="B77" s="10" t="s">
        <v>29</v>
      </c>
      <c r="C77" s="10" t="s">
        <v>42</v>
      </c>
      <c r="D77" s="10" t="s">
        <v>43</v>
      </c>
      <c r="E77" s="14">
        <v>26</v>
      </c>
      <c r="F77" s="10">
        <v>92</v>
      </c>
      <c r="G77" s="10">
        <v>92</v>
      </c>
    </row>
    <row r="78" ht="15.75" spans="1:7">
      <c r="A78" s="20" t="s">
        <v>28</v>
      </c>
      <c r="B78" s="10" t="s">
        <v>29</v>
      </c>
      <c r="C78" s="10" t="s">
        <v>44</v>
      </c>
      <c r="D78" s="10" t="s">
        <v>45</v>
      </c>
      <c r="E78" s="14">
        <v>12</v>
      </c>
      <c r="F78" s="10">
        <v>90.67</v>
      </c>
      <c r="G78" s="10">
        <v>90.67</v>
      </c>
    </row>
    <row r="79" ht="15.75" spans="1:7">
      <c r="A79" s="20" t="s">
        <v>28</v>
      </c>
      <c r="B79" s="9" t="s">
        <v>29</v>
      </c>
      <c r="C79" s="10" t="s">
        <v>46</v>
      </c>
      <c r="D79" s="10" t="s">
        <v>47</v>
      </c>
      <c r="E79" s="14">
        <v>21</v>
      </c>
      <c r="F79" s="10">
        <v>90.67</v>
      </c>
      <c r="G79" s="10">
        <v>90.67</v>
      </c>
    </row>
    <row r="80" ht="15.75" spans="1:7">
      <c r="A80" s="20" t="s">
        <v>28</v>
      </c>
      <c r="B80" s="10" t="s">
        <v>29</v>
      </c>
      <c r="C80" s="10" t="s">
        <v>48</v>
      </c>
      <c r="D80" s="10" t="s">
        <v>49</v>
      </c>
      <c r="E80" s="14">
        <v>25</v>
      </c>
      <c r="F80" s="10">
        <v>90.33</v>
      </c>
      <c r="G80" s="10">
        <v>90.33</v>
      </c>
    </row>
    <row r="81" ht="15.75" spans="1:7">
      <c r="A81" s="20" t="s">
        <v>28</v>
      </c>
      <c r="B81" s="10" t="s">
        <v>29</v>
      </c>
      <c r="C81" s="10" t="s">
        <v>50</v>
      </c>
      <c r="D81" s="10" t="s">
        <v>51</v>
      </c>
      <c r="E81" s="14">
        <v>2</v>
      </c>
      <c r="F81" s="10">
        <v>90</v>
      </c>
      <c r="G81" s="10">
        <v>90</v>
      </c>
    </row>
    <row r="82" ht="15.75" spans="1:7">
      <c r="A82" s="20" t="s">
        <v>28</v>
      </c>
      <c r="B82" s="10" t="s">
        <v>29</v>
      </c>
      <c r="C82" s="10" t="s">
        <v>52</v>
      </c>
      <c r="D82" s="10" t="s">
        <v>53</v>
      </c>
      <c r="E82" s="14">
        <v>20</v>
      </c>
      <c r="F82" s="10">
        <v>90</v>
      </c>
      <c r="G82" s="10">
        <v>90</v>
      </c>
    </row>
    <row r="83" ht="15.75" spans="1:7">
      <c r="A83" s="20" t="s">
        <v>28</v>
      </c>
      <c r="B83" s="9" t="s">
        <v>29</v>
      </c>
      <c r="C83" s="10" t="s">
        <v>54</v>
      </c>
      <c r="D83" s="10" t="s">
        <v>55</v>
      </c>
      <c r="E83" s="14">
        <v>4</v>
      </c>
      <c r="F83" s="10">
        <v>89.33</v>
      </c>
      <c r="G83" s="10">
        <v>89.33</v>
      </c>
    </row>
    <row r="84" ht="15.75" spans="1:7">
      <c r="A84" s="20" t="s">
        <v>28</v>
      </c>
      <c r="B84" s="10" t="s">
        <v>29</v>
      </c>
      <c r="C84" s="10" t="s">
        <v>56</v>
      </c>
      <c r="D84" s="10" t="s">
        <v>57</v>
      </c>
      <c r="E84" s="14">
        <v>22</v>
      </c>
      <c r="F84" s="10">
        <v>89.33</v>
      </c>
      <c r="G84" s="10">
        <v>89.33</v>
      </c>
    </row>
    <row r="85" ht="15.75" spans="1:7">
      <c r="A85" s="20" t="s">
        <v>28</v>
      </c>
      <c r="B85" s="9" t="s">
        <v>29</v>
      </c>
      <c r="C85" s="10" t="s">
        <v>58</v>
      </c>
      <c r="D85" s="10" t="s">
        <v>59</v>
      </c>
      <c r="E85" s="14">
        <v>16</v>
      </c>
      <c r="F85" s="10">
        <v>89</v>
      </c>
      <c r="G85" s="10">
        <v>89</v>
      </c>
    </row>
    <row r="86" ht="15.75" spans="1:7">
      <c r="A86" s="20" t="s">
        <v>28</v>
      </c>
      <c r="B86" s="10" t="s">
        <v>29</v>
      </c>
      <c r="C86" s="10" t="s">
        <v>60</v>
      </c>
      <c r="D86" s="10" t="s">
        <v>61</v>
      </c>
      <c r="E86" s="14">
        <v>7</v>
      </c>
      <c r="F86" s="10">
        <v>88.33</v>
      </c>
      <c r="G86" s="10">
        <v>88.33</v>
      </c>
    </row>
    <row r="87" ht="15.75" spans="1:7">
      <c r="A87" s="20" t="s">
        <v>28</v>
      </c>
      <c r="B87" s="9" t="s">
        <v>29</v>
      </c>
      <c r="C87" s="10" t="s">
        <v>62</v>
      </c>
      <c r="D87" s="10" t="s">
        <v>63</v>
      </c>
      <c r="E87" s="14">
        <v>5</v>
      </c>
      <c r="F87" s="10">
        <v>87.67</v>
      </c>
      <c r="G87" s="10">
        <v>87.67</v>
      </c>
    </row>
    <row r="88" ht="15.75" spans="1:7">
      <c r="A88" s="20" t="s">
        <v>28</v>
      </c>
      <c r="B88" s="9" t="s">
        <v>29</v>
      </c>
      <c r="C88" s="10" t="s">
        <v>64</v>
      </c>
      <c r="D88" s="10" t="s">
        <v>65</v>
      </c>
      <c r="E88" s="14">
        <v>9</v>
      </c>
      <c r="F88" s="10">
        <v>87.67</v>
      </c>
      <c r="G88" s="10">
        <v>87.67</v>
      </c>
    </row>
    <row r="89" ht="15.75" spans="1:7">
      <c r="A89" s="20" t="s">
        <v>28</v>
      </c>
      <c r="B89" s="10" t="s">
        <v>29</v>
      </c>
      <c r="C89" s="10" t="s">
        <v>66</v>
      </c>
      <c r="D89" s="10" t="s">
        <v>67</v>
      </c>
      <c r="E89" s="14">
        <v>13</v>
      </c>
      <c r="F89" s="10">
        <v>87.33</v>
      </c>
      <c r="G89" s="10">
        <v>87.33</v>
      </c>
    </row>
    <row r="90" ht="15.75" spans="1:7">
      <c r="A90" s="20" t="s">
        <v>28</v>
      </c>
      <c r="B90" s="10" t="s">
        <v>29</v>
      </c>
      <c r="C90" s="10" t="s">
        <v>68</v>
      </c>
      <c r="D90" s="10" t="s">
        <v>69</v>
      </c>
      <c r="E90" s="14" t="s">
        <v>19</v>
      </c>
      <c r="F90" s="10">
        <v>0</v>
      </c>
      <c r="G90" s="10">
        <v>0</v>
      </c>
    </row>
    <row r="91" s="3" customFormat="true" ht="15.75" spans="1:10">
      <c r="A91" s="20" t="s">
        <v>70</v>
      </c>
      <c r="B91" s="9" t="s">
        <v>71</v>
      </c>
      <c r="C91" s="10" t="s">
        <v>72</v>
      </c>
      <c r="D91" s="10" t="s">
        <v>73</v>
      </c>
      <c r="E91" s="14">
        <v>11</v>
      </c>
      <c r="F91" s="10">
        <v>96.67</v>
      </c>
      <c r="G91" s="10">
        <v>96.67</v>
      </c>
      <c r="H91" s="19"/>
      <c r="I91" s="19"/>
      <c r="J91" s="19"/>
    </row>
    <row r="92" ht="15.75" spans="1:7">
      <c r="A92" s="20" t="s">
        <v>70</v>
      </c>
      <c r="B92" s="9" t="s">
        <v>71</v>
      </c>
      <c r="C92" s="10" t="s">
        <v>74</v>
      </c>
      <c r="D92" s="10" t="s">
        <v>75</v>
      </c>
      <c r="E92" s="14">
        <v>18</v>
      </c>
      <c r="F92" s="10">
        <v>94.33</v>
      </c>
      <c r="G92" s="10">
        <v>94.33</v>
      </c>
    </row>
    <row r="93" ht="15.75" spans="1:7">
      <c r="A93" s="20" t="s">
        <v>70</v>
      </c>
      <c r="B93" s="9" t="s">
        <v>71</v>
      </c>
      <c r="C93" s="10" t="s">
        <v>76</v>
      </c>
      <c r="D93" s="10" t="s">
        <v>77</v>
      </c>
      <c r="E93" s="14">
        <v>23</v>
      </c>
      <c r="F93" s="10">
        <v>94</v>
      </c>
      <c r="G93" s="10">
        <v>94</v>
      </c>
    </row>
    <row r="94" ht="15.75" spans="1:7">
      <c r="A94" s="20" t="s">
        <v>70</v>
      </c>
      <c r="B94" s="9" t="s">
        <v>71</v>
      </c>
      <c r="C94" s="10" t="s">
        <v>78</v>
      </c>
      <c r="D94" s="10" t="s">
        <v>79</v>
      </c>
      <c r="E94" s="14">
        <v>17</v>
      </c>
      <c r="F94" s="10">
        <v>92.33</v>
      </c>
      <c r="G94" s="10">
        <v>92.33</v>
      </c>
    </row>
    <row r="95" s="3" customFormat="true" ht="15.75" spans="1:10">
      <c r="A95" s="20" t="s">
        <v>80</v>
      </c>
      <c r="B95" s="9" t="s">
        <v>81</v>
      </c>
      <c r="C95" s="10" t="s">
        <v>82</v>
      </c>
      <c r="D95" s="10" t="s">
        <v>83</v>
      </c>
      <c r="E95" s="14">
        <v>1</v>
      </c>
      <c r="F95" s="10">
        <v>94.33</v>
      </c>
      <c r="G95" s="10">
        <v>94.33</v>
      </c>
      <c r="H95" s="19"/>
      <c r="I95" s="19"/>
      <c r="J95" s="19"/>
    </row>
    <row r="96" ht="15.75" spans="1:7">
      <c r="A96" s="20" t="s">
        <v>80</v>
      </c>
      <c r="B96" s="9" t="s">
        <v>81</v>
      </c>
      <c r="C96" s="10" t="s">
        <v>84</v>
      </c>
      <c r="D96" s="10" t="s">
        <v>85</v>
      </c>
      <c r="E96" s="14">
        <v>19</v>
      </c>
      <c r="F96" s="10">
        <v>91.33</v>
      </c>
      <c r="G96" s="10">
        <v>91.33</v>
      </c>
    </row>
    <row r="97" s="3" customFormat="true" ht="15.75" spans="1:10">
      <c r="A97" s="10" t="str">
        <f t="shared" ref="A97:A100" si="11">"024"</f>
        <v>024</v>
      </c>
      <c r="B97" s="10" t="s">
        <v>86</v>
      </c>
      <c r="C97" s="10" t="str">
        <f>"杨丽"</f>
        <v>杨丽</v>
      </c>
      <c r="D97" s="10" t="str">
        <f>"2021014607"</f>
        <v>2021014607</v>
      </c>
      <c r="E97" s="14">
        <v>4</v>
      </c>
      <c r="F97" s="10">
        <v>94.67</v>
      </c>
      <c r="G97" s="16">
        <v>82.51</v>
      </c>
      <c r="H97" s="19"/>
      <c r="I97" s="19"/>
      <c r="J97" s="19"/>
    </row>
    <row r="98" s="3" customFormat="true" ht="15.75" spans="1:10">
      <c r="A98" s="10" t="str">
        <f t="shared" si="11"/>
        <v>024</v>
      </c>
      <c r="B98" s="10" t="s">
        <v>86</v>
      </c>
      <c r="C98" s="10" t="str">
        <f>"陈美凤"</f>
        <v>陈美凤</v>
      </c>
      <c r="D98" s="10" t="str">
        <f>"2021014623"</f>
        <v>2021014623</v>
      </c>
      <c r="E98" s="14">
        <v>2</v>
      </c>
      <c r="F98" s="10">
        <v>91</v>
      </c>
      <c r="G98" s="16">
        <v>80.15</v>
      </c>
      <c r="H98" s="19"/>
      <c r="I98" s="19"/>
      <c r="J98" s="19"/>
    </row>
    <row r="99" ht="15.75" spans="1:7">
      <c r="A99" s="10" t="str">
        <f t="shared" si="11"/>
        <v>024</v>
      </c>
      <c r="B99" s="10" t="s">
        <v>86</v>
      </c>
      <c r="C99" s="10" t="str">
        <f>"唐瑜琦"</f>
        <v>唐瑜琦</v>
      </c>
      <c r="D99" s="10" t="str">
        <f>"2021014622"</f>
        <v>2021014622</v>
      </c>
      <c r="E99" s="14">
        <v>1</v>
      </c>
      <c r="F99" s="10">
        <v>86</v>
      </c>
      <c r="G99" s="16">
        <v>78.2</v>
      </c>
    </row>
    <row r="100" ht="15.75" spans="1:7">
      <c r="A100" s="10" t="str">
        <f t="shared" si="11"/>
        <v>024</v>
      </c>
      <c r="B100" s="10" t="s">
        <v>86</v>
      </c>
      <c r="C100" s="10" t="str">
        <f>"何艳丽"</f>
        <v>何艳丽</v>
      </c>
      <c r="D100" s="10" t="str">
        <f>"2021014615"</f>
        <v>2021014615</v>
      </c>
      <c r="E100" s="14">
        <v>3</v>
      </c>
      <c r="F100" s="10">
        <v>88.33</v>
      </c>
      <c r="G100" s="16">
        <v>77.59</v>
      </c>
    </row>
    <row r="101" s="3" customFormat="true" ht="15.75" spans="1:10">
      <c r="A101" s="10" t="str">
        <f t="shared" ref="A101:A104" si="12">"034"</f>
        <v>034</v>
      </c>
      <c r="B101" s="10" t="s">
        <v>87</v>
      </c>
      <c r="C101" s="10" t="str">
        <f>"张健"</f>
        <v>张健</v>
      </c>
      <c r="D101" s="10" t="str">
        <f>"2021024122"</f>
        <v>2021024122</v>
      </c>
      <c r="E101" s="14">
        <v>3</v>
      </c>
      <c r="F101" s="10">
        <v>95</v>
      </c>
      <c r="G101" s="16">
        <v>83.86</v>
      </c>
      <c r="H101" s="19"/>
      <c r="I101" s="19"/>
      <c r="J101" s="19"/>
    </row>
    <row r="102" s="3" customFormat="true" ht="15.75" spans="1:10">
      <c r="A102" s="10" t="str">
        <f t="shared" si="12"/>
        <v>034</v>
      </c>
      <c r="B102" s="10" t="s">
        <v>87</v>
      </c>
      <c r="C102" s="10" t="str">
        <f>"丁当"</f>
        <v>丁当</v>
      </c>
      <c r="D102" s="10" t="str">
        <f>"2021024013"</f>
        <v>2021024013</v>
      </c>
      <c r="E102" s="14">
        <v>1</v>
      </c>
      <c r="F102" s="10">
        <v>90.67</v>
      </c>
      <c r="G102" s="16">
        <v>82.975</v>
      </c>
      <c r="H102" s="19"/>
      <c r="I102" s="19"/>
      <c r="J102" s="19"/>
    </row>
    <row r="103" ht="15.75" spans="1:7">
      <c r="A103" s="10" t="str">
        <f t="shared" si="12"/>
        <v>034</v>
      </c>
      <c r="B103" s="10" t="s">
        <v>87</v>
      </c>
      <c r="C103" s="10" t="str">
        <f>"黄彦霞"</f>
        <v>黄彦霞</v>
      </c>
      <c r="D103" s="10" t="str">
        <f>"2021024030"</f>
        <v>2021024030</v>
      </c>
      <c r="E103" s="14">
        <v>4</v>
      </c>
      <c r="F103" s="10">
        <v>93</v>
      </c>
      <c r="G103" s="16">
        <v>80.805</v>
      </c>
    </row>
    <row r="104" ht="15.75" spans="1:7">
      <c r="A104" s="10" t="str">
        <f t="shared" si="12"/>
        <v>034</v>
      </c>
      <c r="B104" s="10" t="s">
        <v>87</v>
      </c>
      <c r="C104" s="10" t="str">
        <f>"付莉"</f>
        <v>付莉</v>
      </c>
      <c r="D104" s="10" t="str">
        <f>"2021024114"</f>
        <v>2021024114</v>
      </c>
      <c r="E104" s="14">
        <v>2</v>
      </c>
      <c r="F104" s="10">
        <v>89.67</v>
      </c>
      <c r="G104" s="16">
        <v>79.255</v>
      </c>
    </row>
    <row r="105" s="3" customFormat="true" ht="15.75" spans="1:10">
      <c r="A105" s="10" t="str">
        <f t="shared" ref="A105:A118" si="13">"025"</f>
        <v>025</v>
      </c>
      <c r="B105" s="10" t="s">
        <v>88</v>
      </c>
      <c r="C105" s="10" t="str">
        <f>"蔡媛媛"</f>
        <v>蔡媛媛</v>
      </c>
      <c r="D105" s="10" t="str">
        <f>"2021015105"</f>
        <v>2021015105</v>
      </c>
      <c r="E105" s="14">
        <v>3</v>
      </c>
      <c r="F105" s="10">
        <v>88.1</v>
      </c>
      <c r="G105" s="16">
        <v>81.25</v>
      </c>
      <c r="H105" s="19"/>
      <c r="I105" s="19"/>
      <c r="J105" s="19"/>
    </row>
    <row r="106" s="3" customFormat="true" ht="15.75" spans="1:10">
      <c r="A106" s="10" t="str">
        <f t="shared" si="13"/>
        <v>025</v>
      </c>
      <c r="B106" s="10" t="s">
        <v>88</v>
      </c>
      <c r="C106" s="10" t="str">
        <f>"潘桢桢"</f>
        <v>潘桢桢</v>
      </c>
      <c r="D106" s="10" t="str">
        <f>"2021015104"</f>
        <v>2021015104</v>
      </c>
      <c r="E106" s="14">
        <v>4</v>
      </c>
      <c r="F106" s="10">
        <v>89.6</v>
      </c>
      <c r="G106" s="16">
        <v>80.85</v>
      </c>
      <c r="H106" s="19"/>
      <c r="I106" s="19"/>
      <c r="J106" s="19"/>
    </row>
    <row r="107" s="3" customFormat="true" ht="15.75" spans="1:10">
      <c r="A107" s="10" t="str">
        <f t="shared" si="13"/>
        <v>025</v>
      </c>
      <c r="B107" s="10" t="s">
        <v>88</v>
      </c>
      <c r="C107" s="10" t="str">
        <f>"王加碧"</f>
        <v>王加碧</v>
      </c>
      <c r="D107" s="10" t="str">
        <f>"2021015117"</f>
        <v>2021015117</v>
      </c>
      <c r="E107" s="14">
        <v>7</v>
      </c>
      <c r="F107" s="10">
        <v>87.2</v>
      </c>
      <c r="G107" s="16">
        <v>80</v>
      </c>
      <c r="H107" s="19"/>
      <c r="I107" s="19"/>
      <c r="J107" s="19"/>
    </row>
    <row r="108" s="3" customFormat="true" ht="15.75" spans="1:10">
      <c r="A108" s="10" t="str">
        <f t="shared" si="13"/>
        <v>025</v>
      </c>
      <c r="B108" s="10" t="s">
        <v>88</v>
      </c>
      <c r="C108" s="10" t="str">
        <f>"李建文"</f>
        <v>李建文</v>
      </c>
      <c r="D108" s="10" t="str">
        <f>"2021015102"</f>
        <v>2021015102</v>
      </c>
      <c r="E108" s="14">
        <v>9</v>
      </c>
      <c r="F108" s="10">
        <v>85</v>
      </c>
      <c r="G108" s="16">
        <v>79.25</v>
      </c>
      <c r="H108" s="19"/>
      <c r="I108" s="19"/>
      <c r="J108" s="19"/>
    </row>
    <row r="109" s="3" customFormat="true" ht="15.75" spans="1:10">
      <c r="A109" s="10" t="str">
        <f t="shared" si="13"/>
        <v>025</v>
      </c>
      <c r="B109" s="10" t="s">
        <v>88</v>
      </c>
      <c r="C109" s="10" t="str">
        <f>"雷丽群"</f>
        <v>雷丽群</v>
      </c>
      <c r="D109" s="10" t="str">
        <f>"2021015116"</f>
        <v>2021015116</v>
      </c>
      <c r="E109" s="14">
        <v>5</v>
      </c>
      <c r="F109" s="10">
        <v>85.3</v>
      </c>
      <c r="G109" s="16">
        <v>79.075</v>
      </c>
      <c r="H109" s="19"/>
      <c r="I109" s="19"/>
      <c r="J109" s="19"/>
    </row>
    <row r="110" s="3" customFormat="true" ht="15.75" spans="1:10">
      <c r="A110" s="10" t="str">
        <f t="shared" si="13"/>
        <v>025</v>
      </c>
      <c r="B110" s="10" t="s">
        <v>88</v>
      </c>
      <c r="C110" s="10" t="str">
        <f>"粟艳群"</f>
        <v>粟艳群</v>
      </c>
      <c r="D110" s="10" t="str">
        <f>"2021015110"</f>
        <v>2021015110</v>
      </c>
      <c r="E110" s="14">
        <v>1</v>
      </c>
      <c r="F110" s="10">
        <v>84</v>
      </c>
      <c r="G110" s="16">
        <v>78.875</v>
      </c>
      <c r="H110" s="19"/>
      <c r="I110" s="19"/>
      <c r="J110" s="19"/>
    </row>
    <row r="111" s="3" customFormat="true" ht="15.75" spans="1:10">
      <c r="A111" s="10" t="str">
        <f t="shared" si="13"/>
        <v>025</v>
      </c>
      <c r="B111" s="10" t="s">
        <v>88</v>
      </c>
      <c r="C111" s="10" t="str">
        <f>"肖文芳"</f>
        <v>肖文芳</v>
      </c>
      <c r="D111" s="10" t="str">
        <f>"2021015119"</f>
        <v>2021015119</v>
      </c>
      <c r="E111" s="14">
        <v>8</v>
      </c>
      <c r="F111" s="10">
        <v>86.4</v>
      </c>
      <c r="G111" s="16">
        <v>78.725</v>
      </c>
      <c r="H111" s="19"/>
      <c r="I111" s="19"/>
      <c r="J111" s="19"/>
    </row>
    <row r="112" ht="15.75" spans="1:7">
      <c r="A112" s="10" t="str">
        <f t="shared" si="13"/>
        <v>025</v>
      </c>
      <c r="B112" s="10" t="s">
        <v>88</v>
      </c>
      <c r="C112" s="10" t="str">
        <f>"舒羽琦"</f>
        <v>舒羽琦</v>
      </c>
      <c r="D112" s="10" t="str">
        <f>"2021015121"</f>
        <v>2021015121</v>
      </c>
      <c r="E112" s="14">
        <v>13</v>
      </c>
      <c r="F112" s="10">
        <v>87.4</v>
      </c>
      <c r="G112" s="16">
        <v>78.7</v>
      </c>
    </row>
    <row r="113" ht="15.75" spans="1:7">
      <c r="A113" s="10" t="str">
        <f t="shared" si="13"/>
        <v>025</v>
      </c>
      <c r="B113" s="10" t="s">
        <v>88</v>
      </c>
      <c r="C113" s="10" t="str">
        <f>"张曼殊"</f>
        <v>张曼殊</v>
      </c>
      <c r="D113" s="10" t="str">
        <f>"2021015125"</f>
        <v>2021015125</v>
      </c>
      <c r="E113" s="14">
        <v>11</v>
      </c>
      <c r="F113" s="10">
        <v>87.4</v>
      </c>
      <c r="G113" s="16">
        <v>78.475</v>
      </c>
    </row>
    <row r="114" ht="15.75" spans="1:7">
      <c r="A114" s="10" t="str">
        <f t="shared" si="13"/>
        <v>025</v>
      </c>
      <c r="B114" s="10" t="s">
        <v>88</v>
      </c>
      <c r="C114" s="10" t="str">
        <f>"彭思雨"</f>
        <v>彭思雨</v>
      </c>
      <c r="D114" s="10" t="str">
        <f>"2021015204"</f>
        <v>2021015204</v>
      </c>
      <c r="E114" s="14">
        <v>2</v>
      </c>
      <c r="F114" s="10">
        <v>84.5</v>
      </c>
      <c r="G114" s="16">
        <v>78.225</v>
      </c>
    </row>
    <row r="115" ht="15.75" spans="1:7">
      <c r="A115" s="10" t="str">
        <f t="shared" si="13"/>
        <v>025</v>
      </c>
      <c r="B115" s="10" t="s">
        <v>88</v>
      </c>
      <c r="C115" s="10" t="str">
        <f>"李梦琴"</f>
        <v>李梦琴</v>
      </c>
      <c r="D115" s="10" t="str">
        <f>"2021015120"</f>
        <v>2021015120</v>
      </c>
      <c r="E115" s="14">
        <v>6</v>
      </c>
      <c r="F115" s="10">
        <v>87.5</v>
      </c>
      <c r="G115" s="16">
        <v>78.15</v>
      </c>
    </row>
    <row r="116" ht="15.75" spans="1:7">
      <c r="A116" s="10" t="str">
        <f t="shared" si="13"/>
        <v>025</v>
      </c>
      <c r="B116" s="10" t="s">
        <v>88</v>
      </c>
      <c r="C116" s="10" t="str">
        <f>"蒋九如"</f>
        <v>蒋九如</v>
      </c>
      <c r="D116" s="10" t="str">
        <f>"2021015127"</f>
        <v>2021015127</v>
      </c>
      <c r="E116" s="14">
        <v>12</v>
      </c>
      <c r="F116" s="10">
        <v>86.5</v>
      </c>
      <c r="G116" s="16">
        <v>78.15</v>
      </c>
    </row>
    <row r="117" ht="15.75" spans="1:7">
      <c r="A117" s="10" t="str">
        <f t="shared" si="13"/>
        <v>025</v>
      </c>
      <c r="B117" s="10" t="s">
        <v>88</v>
      </c>
      <c r="C117" s="10" t="str">
        <f>"刘思洁"</f>
        <v>刘思洁</v>
      </c>
      <c r="D117" s="10" t="str">
        <f>"2021015201"</f>
        <v>2021015201</v>
      </c>
      <c r="E117" s="14">
        <v>14</v>
      </c>
      <c r="F117" s="10">
        <v>85.6</v>
      </c>
      <c r="G117" s="16">
        <v>77.875</v>
      </c>
    </row>
    <row r="118" ht="15.75" spans="1:7">
      <c r="A118" s="10" t="str">
        <f t="shared" si="13"/>
        <v>025</v>
      </c>
      <c r="B118" s="10" t="s">
        <v>88</v>
      </c>
      <c r="C118" s="10" t="str">
        <f>"彭慧娟"</f>
        <v>彭慧娟</v>
      </c>
      <c r="D118" s="10" t="str">
        <f>"2021015206"</f>
        <v>2021015206</v>
      </c>
      <c r="E118" s="14">
        <v>10</v>
      </c>
      <c r="F118" s="10">
        <v>85.8</v>
      </c>
      <c r="G118" s="16">
        <v>75.15</v>
      </c>
    </row>
    <row r="119" s="3" customFormat="true" ht="15.75" spans="1:10">
      <c r="A119" s="10" t="str">
        <f t="shared" ref="A119:A121" si="14">"031"</f>
        <v>031</v>
      </c>
      <c r="B119" s="10" t="s">
        <v>89</v>
      </c>
      <c r="C119" s="10" t="str">
        <f>"张静"</f>
        <v>张静</v>
      </c>
      <c r="D119" s="10" t="str">
        <f>"2021021804"</f>
        <v>2021021804</v>
      </c>
      <c r="E119" s="14">
        <v>1</v>
      </c>
      <c r="F119" s="10">
        <v>89.5</v>
      </c>
      <c r="G119" s="16">
        <v>89.665</v>
      </c>
      <c r="H119" s="19"/>
      <c r="I119" s="19"/>
      <c r="J119" s="19"/>
    </row>
    <row r="120" ht="15.75" spans="1:7">
      <c r="A120" s="10" t="str">
        <f t="shared" si="14"/>
        <v>031</v>
      </c>
      <c r="B120" s="10" t="s">
        <v>89</v>
      </c>
      <c r="C120" s="10" t="str">
        <f>"唐青容"</f>
        <v>唐青容</v>
      </c>
      <c r="D120" s="10" t="str">
        <f>"2021021811"</f>
        <v>2021021811</v>
      </c>
      <c r="E120" s="14">
        <v>2</v>
      </c>
      <c r="F120" s="10">
        <v>90.8</v>
      </c>
      <c r="G120" s="16">
        <v>88.86</v>
      </c>
    </row>
    <row r="121" ht="15.75" spans="1:7">
      <c r="A121" s="10" t="str">
        <f t="shared" si="14"/>
        <v>031</v>
      </c>
      <c r="B121" s="10" t="s">
        <v>89</v>
      </c>
      <c r="C121" s="10" t="str">
        <f>"杨淑媛"</f>
        <v>杨淑媛</v>
      </c>
      <c r="D121" s="10" t="str">
        <f>"2021021812"</f>
        <v>2021021812</v>
      </c>
      <c r="E121" s="14">
        <v>3</v>
      </c>
      <c r="F121" s="10">
        <v>92.4</v>
      </c>
      <c r="G121" s="16">
        <v>87.225</v>
      </c>
    </row>
    <row r="122" s="3" customFormat="true" ht="15.75" spans="1:10">
      <c r="A122" s="10" t="str">
        <f t="shared" ref="A122:A137" si="15">"022"</f>
        <v>022</v>
      </c>
      <c r="B122" s="10" t="s">
        <v>90</v>
      </c>
      <c r="C122" s="10" t="str">
        <f>"韩嫣"</f>
        <v>韩嫣</v>
      </c>
      <c r="D122" s="10" t="str">
        <f>"2021012616"</f>
        <v>2021012616</v>
      </c>
      <c r="E122" s="14">
        <v>11</v>
      </c>
      <c r="F122" s="10">
        <v>91.67</v>
      </c>
      <c r="G122" s="16">
        <v>84.46</v>
      </c>
      <c r="H122" s="19"/>
      <c r="I122" s="19"/>
      <c r="J122" s="19"/>
    </row>
    <row r="123" s="3" customFormat="true" ht="15.75" spans="1:10">
      <c r="A123" s="10" t="str">
        <f t="shared" si="15"/>
        <v>022</v>
      </c>
      <c r="B123" s="10" t="s">
        <v>90</v>
      </c>
      <c r="C123" s="10" t="str">
        <f>"张雪波"</f>
        <v>张雪波</v>
      </c>
      <c r="D123" s="10" t="str">
        <f>"2021012620"</f>
        <v>2021012620</v>
      </c>
      <c r="E123" s="14">
        <v>13</v>
      </c>
      <c r="F123" s="10">
        <v>90</v>
      </c>
      <c r="G123" s="16">
        <v>83.75</v>
      </c>
      <c r="H123" s="19"/>
      <c r="I123" s="19"/>
      <c r="J123" s="19"/>
    </row>
    <row r="124" s="3" customFormat="true" ht="15.75" spans="1:10">
      <c r="A124" s="10" t="str">
        <f t="shared" si="15"/>
        <v>022</v>
      </c>
      <c r="B124" s="10" t="s">
        <v>90</v>
      </c>
      <c r="C124" s="10" t="str">
        <f>"刘丽花"</f>
        <v>刘丽花</v>
      </c>
      <c r="D124" s="10" t="str">
        <f>"2021012702"</f>
        <v>2021012702</v>
      </c>
      <c r="E124" s="14">
        <v>4</v>
      </c>
      <c r="F124" s="10">
        <v>85.67</v>
      </c>
      <c r="G124" s="16">
        <v>83.46</v>
      </c>
      <c r="H124" s="19"/>
      <c r="I124" s="19"/>
      <c r="J124" s="19"/>
    </row>
    <row r="125" s="3" customFormat="true" ht="15.75" spans="1:10">
      <c r="A125" s="10" t="str">
        <f t="shared" si="15"/>
        <v>022</v>
      </c>
      <c r="B125" s="10" t="s">
        <v>90</v>
      </c>
      <c r="C125" s="10" t="str">
        <f>"张一"</f>
        <v>张一</v>
      </c>
      <c r="D125" s="10" t="str">
        <f>"2021013228"</f>
        <v>2021013228</v>
      </c>
      <c r="E125" s="14">
        <v>6</v>
      </c>
      <c r="F125" s="10">
        <v>90.33</v>
      </c>
      <c r="G125" s="16">
        <v>83.165</v>
      </c>
      <c r="H125" s="19"/>
      <c r="I125" s="19"/>
      <c r="J125" s="19"/>
    </row>
    <row r="126" s="3" customFormat="true" ht="15.75" spans="1:10">
      <c r="A126" s="10" t="str">
        <f t="shared" si="15"/>
        <v>022</v>
      </c>
      <c r="B126" s="10" t="s">
        <v>90</v>
      </c>
      <c r="C126" s="10" t="str">
        <f>"万欣"</f>
        <v>万欣</v>
      </c>
      <c r="D126" s="10" t="str">
        <f>"2021013206"</f>
        <v>2021013206</v>
      </c>
      <c r="E126" s="14">
        <v>7</v>
      </c>
      <c r="F126" s="10">
        <v>92.67</v>
      </c>
      <c r="G126" s="16">
        <v>83.085</v>
      </c>
      <c r="H126" s="19"/>
      <c r="I126" s="19"/>
      <c r="J126" s="19"/>
    </row>
    <row r="127" s="3" customFormat="true" ht="15.75" spans="1:10">
      <c r="A127" s="10" t="str">
        <f t="shared" si="15"/>
        <v>022</v>
      </c>
      <c r="B127" s="10" t="s">
        <v>90</v>
      </c>
      <c r="C127" s="10" t="str">
        <f>"赵艺琳"</f>
        <v>赵艺琳</v>
      </c>
      <c r="D127" s="10" t="str">
        <f>"2021013007"</f>
        <v>2021013007</v>
      </c>
      <c r="E127" s="14">
        <v>16</v>
      </c>
      <c r="F127" s="10">
        <v>90.33</v>
      </c>
      <c r="G127" s="16">
        <v>82.54</v>
      </c>
      <c r="H127" s="19"/>
      <c r="I127" s="19"/>
      <c r="J127" s="19"/>
    </row>
    <row r="128" s="3" customFormat="true" ht="15.75" spans="1:10">
      <c r="A128" s="10" t="str">
        <f t="shared" si="15"/>
        <v>022</v>
      </c>
      <c r="B128" s="10" t="s">
        <v>90</v>
      </c>
      <c r="C128" s="10" t="str">
        <f>"王素珍"</f>
        <v>王素珍</v>
      </c>
      <c r="D128" s="10" t="str">
        <f>"2021012705"</f>
        <v>2021012705</v>
      </c>
      <c r="E128" s="14">
        <v>2</v>
      </c>
      <c r="F128" s="10">
        <v>89.67</v>
      </c>
      <c r="G128" s="16">
        <v>80.835</v>
      </c>
      <c r="H128" s="19"/>
      <c r="I128" s="19"/>
      <c r="J128" s="19"/>
    </row>
    <row r="129" s="3" customFormat="true" ht="15.75" spans="1:10">
      <c r="A129" s="10" t="str">
        <f t="shared" si="15"/>
        <v>022</v>
      </c>
      <c r="B129" s="10" t="s">
        <v>90</v>
      </c>
      <c r="C129" s="10" t="str">
        <f>"唐薇"</f>
        <v>唐薇</v>
      </c>
      <c r="D129" s="10" t="str">
        <f>"2021012604"</f>
        <v>2021012604</v>
      </c>
      <c r="E129" s="14">
        <v>14</v>
      </c>
      <c r="F129" s="10">
        <v>86.33</v>
      </c>
      <c r="G129" s="16">
        <v>80.665</v>
      </c>
      <c r="H129" s="19"/>
      <c r="I129" s="19"/>
      <c r="J129" s="19"/>
    </row>
    <row r="130" ht="15.75" spans="1:7">
      <c r="A130" s="10" t="str">
        <f t="shared" si="15"/>
        <v>022</v>
      </c>
      <c r="B130" s="10" t="s">
        <v>90</v>
      </c>
      <c r="C130" s="10" t="str">
        <f>"孙壁霞"</f>
        <v>孙壁霞</v>
      </c>
      <c r="D130" s="10" t="str">
        <f>"2021013001"</f>
        <v>2021013001</v>
      </c>
      <c r="E130" s="14">
        <v>9</v>
      </c>
      <c r="F130" s="10">
        <v>90</v>
      </c>
      <c r="G130" s="16">
        <v>80.625</v>
      </c>
    </row>
    <row r="131" ht="15.75" spans="1:7">
      <c r="A131" s="10" t="str">
        <f t="shared" si="15"/>
        <v>022</v>
      </c>
      <c r="B131" s="10" t="s">
        <v>90</v>
      </c>
      <c r="C131" s="10" t="str">
        <f>"包雪利"</f>
        <v>包雪利</v>
      </c>
      <c r="D131" s="10" t="str">
        <f>"2021012725"</f>
        <v>2021012725</v>
      </c>
      <c r="E131" s="14">
        <v>8</v>
      </c>
      <c r="F131" s="10">
        <v>90</v>
      </c>
      <c r="G131" s="16">
        <v>80.5</v>
      </c>
    </row>
    <row r="132" ht="15.75" spans="1:7">
      <c r="A132" s="10" t="str">
        <f t="shared" si="15"/>
        <v>022</v>
      </c>
      <c r="B132" s="10" t="s">
        <v>90</v>
      </c>
      <c r="C132" s="10" t="str">
        <f>"刘雨"</f>
        <v>刘雨</v>
      </c>
      <c r="D132" s="10" t="str">
        <f>"2021012630"</f>
        <v>2021012630</v>
      </c>
      <c r="E132" s="14">
        <v>3</v>
      </c>
      <c r="F132" s="10">
        <v>89.33</v>
      </c>
      <c r="G132" s="16">
        <v>80.29</v>
      </c>
    </row>
    <row r="133" ht="15.75" spans="1:7">
      <c r="A133" s="10" t="str">
        <f t="shared" si="15"/>
        <v>022</v>
      </c>
      <c r="B133" s="10" t="s">
        <v>90</v>
      </c>
      <c r="C133" s="10" t="str">
        <f>"李洋"</f>
        <v>李洋</v>
      </c>
      <c r="D133" s="10" t="str">
        <f>"2021013317"</f>
        <v>2021013317</v>
      </c>
      <c r="E133" s="14">
        <v>15</v>
      </c>
      <c r="F133" s="10">
        <v>86.33</v>
      </c>
      <c r="G133" s="16">
        <v>79.29</v>
      </c>
    </row>
    <row r="134" ht="15.75" spans="1:7">
      <c r="A134" s="10" t="str">
        <f t="shared" si="15"/>
        <v>022</v>
      </c>
      <c r="B134" s="10" t="s">
        <v>90</v>
      </c>
      <c r="C134" s="10" t="str">
        <f>"黄华"</f>
        <v>黄华</v>
      </c>
      <c r="D134" s="10" t="str">
        <f>"2021013022"</f>
        <v>2021013022</v>
      </c>
      <c r="E134" s="14">
        <v>5</v>
      </c>
      <c r="F134" s="10">
        <v>86.67</v>
      </c>
      <c r="G134" s="16">
        <v>78.585</v>
      </c>
    </row>
    <row r="135" ht="15.75" spans="1:7">
      <c r="A135" s="10" t="str">
        <f t="shared" si="15"/>
        <v>022</v>
      </c>
      <c r="B135" s="10" t="s">
        <v>90</v>
      </c>
      <c r="C135" s="10" t="str">
        <f>"张燕"</f>
        <v>张燕</v>
      </c>
      <c r="D135" s="10" t="str">
        <f>"2021013021"</f>
        <v>2021013021</v>
      </c>
      <c r="E135" s="14">
        <v>12</v>
      </c>
      <c r="F135" s="10">
        <v>86.33</v>
      </c>
      <c r="G135" s="16">
        <v>78.04</v>
      </c>
    </row>
    <row r="136" ht="15.75" spans="1:7">
      <c r="A136" s="10" t="str">
        <f t="shared" si="15"/>
        <v>022</v>
      </c>
      <c r="B136" s="10" t="s">
        <v>90</v>
      </c>
      <c r="C136" s="10" t="str">
        <f>"游雅淇"</f>
        <v>游雅淇</v>
      </c>
      <c r="D136" s="10" t="str">
        <f>"2021012916"</f>
        <v>2021012916</v>
      </c>
      <c r="E136" s="14">
        <v>1</v>
      </c>
      <c r="F136" s="10">
        <v>84.33</v>
      </c>
      <c r="G136" s="16">
        <v>77.165</v>
      </c>
    </row>
    <row r="137" ht="15.75" spans="1:7">
      <c r="A137" s="10" t="str">
        <f t="shared" si="15"/>
        <v>022</v>
      </c>
      <c r="B137" s="10" t="s">
        <v>90</v>
      </c>
      <c r="C137" s="10" t="str">
        <f>"彭佳辉"</f>
        <v>彭佳辉</v>
      </c>
      <c r="D137" s="10" t="str">
        <f>"2021012819"</f>
        <v>2021012819</v>
      </c>
      <c r="E137" s="14">
        <v>10</v>
      </c>
      <c r="F137" s="10">
        <v>84.33</v>
      </c>
      <c r="G137" s="16">
        <v>77.165</v>
      </c>
    </row>
    <row r="138" s="3" customFormat="true" ht="15.75" spans="1:10">
      <c r="A138" s="10" t="str">
        <f t="shared" ref="A138:A149" si="16">"029"</f>
        <v>029</v>
      </c>
      <c r="B138" s="10" t="s">
        <v>91</v>
      </c>
      <c r="C138" s="10" t="str">
        <f>"夏颖"</f>
        <v>夏颖</v>
      </c>
      <c r="D138" s="10" t="str">
        <f>"2021021013"</f>
        <v>2021021013</v>
      </c>
      <c r="E138" s="14">
        <v>1</v>
      </c>
      <c r="F138" s="10">
        <v>92</v>
      </c>
      <c r="G138" s="16">
        <v>86.265</v>
      </c>
      <c r="H138" s="19"/>
      <c r="I138" s="19"/>
      <c r="J138" s="19"/>
    </row>
    <row r="139" s="3" customFormat="true" ht="15.75" spans="1:10">
      <c r="A139" s="10" t="str">
        <f t="shared" si="16"/>
        <v>029</v>
      </c>
      <c r="B139" s="10" t="s">
        <v>91</v>
      </c>
      <c r="C139" s="10" t="str">
        <f>"刘颜梽"</f>
        <v>刘颜梽</v>
      </c>
      <c r="D139" s="10" t="str">
        <f>"2021021022"</f>
        <v>2021021022</v>
      </c>
      <c r="E139" s="14">
        <v>10</v>
      </c>
      <c r="F139" s="10">
        <v>92.6</v>
      </c>
      <c r="G139" s="16">
        <v>82.515</v>
      </c>
      <c r="H139" s="19"/>
      <c r="I139" s="19"/>
      <c r="J139" s="19"/>
    </row>
    <row r="140" s="3" customFormat="true" ht="15.75" spans="1:10">
      <c r="A140" s="10" t="str">
        <f t="shared" si="16"/>
        <v>029</v>
      </c>
      <c r="B140" s="10" t="s">
        <v>91</v>
      </c>
      <c r="C140" s="10" t="str">
        <f>"吴隆"</f>
        <v>吴隆</v>
      </c>
      <c r="D140" s="10" t="str">
        <f>"2021021103"</f>
        <v>2021021103</v>
      </c>
      <c r="E140" s="14">
        <v>3</v>
      </c>
      <c r="F140" s="10">
        <v>89.1</v>
      </c>
      <c r="G140" s="16">
        <v>81.8</v>
      </c>
      <c r="H140" s="19"/>
      <c r="I140" s="19"/>
      <c r="J140" s="19"/>
    </row>
    <row r="141" s="3" customFormat="true" ht="15.75" spans="1:10">
      <c r="A141" s="10" t="str">
        <f t="shared" si="16"/>
        <v>029</v>
      </c>
      <c r="B141" s="10" t="s">
        <v>91</v>
      </c>
      <c r="C141" s="10" t="str">
        <f>"杨广召"</f>
        <v>杨广召</v>
      </c>
      <c r="D141" s="10" t="str">
        <f>"2021021008"</f>
        <v>2021021008</v>
      </c>
      <c r="E141" s="14">
        <v>4</v>
      </c>
      <c r="F141" s="10">
        <v>92</v>
      </c>
      <c r="G141" s="16">
        <v>80.36</v>
      </c>
      <c r="H141" s="19"/>
      <c r="I141" s="19"/>
      <c r="J141" s="19"/>
    </row>
    <row r="142" ht="15.75" spans="1:7">
      <c r="A142" s="10" t="str">
        <f t="shared" si="16"/>
        <v>029</v>
      </c>
      <c r="B142" s="10" t="s">
        <v>91</v>
      </c>
      <c r="C142" s="10" t="str">
        <f>"杨尧"</f>
        <v>杨尧</v>
      </c>
      <c r="D142" s="10" t="str">
        <f>"2021021016"</f>
        <v>2021021016</v>
      </c>
      <c r="E142" s="14">
        <v>8</v>
      </c>
      <c r="F142" s="10">
        <v>89.8</v>
      </c>
      <c r="G142" s="16">
        <v>78.435</v>
      </c>
    </row>
    <row r="143" ht="15.75" spans="1:7">
      <c r="A143" s="10" t="str">
        <f t="shared" si="16"/>
        <v>029</v>
      </c>
      <c r="B143" s="10" t="s">
        <v>91</v>
      </c>
      <c r="C143" s="10" t="str">
        <f>"杨先凯"</f>
        <v>杨先凯</v>
      </c>
      <c r="D143" s="10" t="str">
        <f>"2021021105"</f>
        <v>2021021105</v>
      </c>
      <c r="E143" s="14">
        <v>9</v>
      </c>
      <c r="F143" s="10">
        <v>88.1</v>
      </c>
      <c r="G143" s="16">
        <v>76.94</v>
      </c>
    </row>
    <row r="144" ht="15.75" spans="1:7">
      <c r="A144" s="10" t="str">
        <f t="shared" si="16"/>
        <v>029</v>
      </c>
      <c r="B144" s="10" t="s">
        <v>91</v>
      </c>
      <c r="C144" s="10" t="str">
        <f>"黄风"</f>
        <v>黄风</v>
      </c>
      <c r="D144" s="10" t="str">
        <f>"2021021107"</f>
        <v>2021021107</v>
      </c>
      <c r="E144" s="14">
        <v>7</v>
      </c>
      <c r="F144" s="10">
        <v>88.3</v>
      </c>
      <c r="G144" s="16">
        <v>74.42</v>
      </c>
    </row>
    <row r="145" ht="15.75" spans="1:7">
      <c r="A145" s="10" t="str">
        <f t="shared" si="16"/>
        <v>029</v>
      </c>
      <c r="B145" s="10" t="s">
        <v>91</v>
      </c>
      <c r="C145" s="10" t="str">
        <f>"刘威"</f>
        <v>刘威</v>
      </c>
      <c r="D145" s="10" t="str">
        <f>"2021020928"</f>
        <v>2021020928</v>
      </c>
      <c r="E145" s="14">
        <v>2</v>
      </c>
      <c r="F145" s="10">
        <v>89.3</v>
      </c>
      <c r="G145" s="16">
        <v>68.52</v>
      </c>
    </row>
    <row r="146" ht="15.75" spans="1:7">
      <c r="A146" s="10" t="str">
        <f t="shared" si="16"/>
        <v>029</v>
      </c>
      <c r="B146" s="10" t="s">
        <v>91</v>
      </c>
      <c r="C146" s="10" t="str">
        <f>"张平秋"</f>
        <v>张平秋</v>
      </c>
      <c r="D146" s="10" t="str">
        <f>"2021021005"</f>
        <v>2021021005</v>
      </c>
      <c r="E146" s="14">
        <v>12</v>
      </c>
      <c r="F146" s="10">
        <v>89.2</v>
      </c>
      <c r="G146" s="16">
        <v>67.1</v>
      </c>
    </row>
    <row r="147" ht="15.75" spans="1:7">
      <c r="A147" s="10" t="str">
        <f t="shared" si="16"/>
        <v>029</v>
      </c>
      <c r="B147" s="10" t="s">
        <v>91</v>
      </c>
      <c r="C147" s="10" t="str">
        <f>"田峰"</f>
        <v>田峰</v>
      </c>
      <c r="D147" s="10" t="str">
        <f>"2021020918"</f>
        <v>2021020918</v>
      </c>
      <c r="E147" s="14" t="s">
        <v>19</v>
      </c>
      <c r="F147" s="10">
        <v>0</v>
      </c>
      <c r="G147" s="16">
        <v>45.01</v>
      </c>
    </row>
    <row r="148" ht="15.75" spans="1:7">
      <c r="A148" s="10" t="str">
        <f t="shared" si="16"/>
        <v>029</v>
      </c>
      <c r="B148" s="10" t="s">
        <v>91</v>
      </c>
      <c r="C148" s="10" t="str">
        <f>"向助伟"</f>
        <v>向助伟</v>
      </c>
      <c r="D148" s="10" t="str">
        <f>"2021020919"</f>
        <v>2021020919</v>
      </c>
      <c r="E148" s="14" t="s">
        <v>19</v>
      </c>
      <c r="F148" s="10">
        <v>0</v>
      </c>
      <c r="G148" s="16">
        <v>40.205</v>
      </c>
    </row>
    <row r="149" ht="15.75" spans="1:7">
      <c r="A149" s="10" t="str">
        <f t="shared" si="16"/>
        <v>029</v>
      </c>
      <c r="B149" s="10" t="s">
        <v>91</v>
      </c>
      <c r="C149" s="10" t="str">
        <f>"尹先祯"</f>
        <v>尹先祯</v>
      </c>
      <c r="D149" s="10" t="str">
        <f>"2021021007"</f>
        <v>2021021007</v>
      </c>
      <c r="E149" s="14" t="s">
        <v>19</v>
      </c>
      <c r="F149" s="10">
        <v>0</v>
      </c>
      <c r="G149" s="16">
        <v>39.66</v>
      </c>
    </row>
    <row r="150" s="3" customFormat="true" ht="15.75" spans="1:10">
      <c r="A150" s="10" t="str">
        <f t="shared" ref="A150:A152" si="17">"030"</f>
        <v>030</v>
      </c>
      <c r="B150" s="10" t="s">
        <v>92</v>
      </c>
      <c r="C150" s="10" t="str">
        <f>"张俏文"</f>
        <v>张俏文</v>
      </c>
      <c r="D150" s="10" t="str">
        <f>"2021021114"</f>
        <v>2021021114</v>
      </c>
      <c r="E150" s="14">
        <v>14</v>
      </c>
      <c r="F150" s="10">
        <v>92.4</v>
      </c>
      <c r="G150" s="16">
        <v>74.02</v>
      </c>
      <c r="H150" s="19"/>
      <c r="I150" s="19"/>
      <c r="J150" s="19"/>
    </row>
    <row r="151" ht="15.75" spans="1:7">
      <c r="A151" s="10" t="str">
        <f t="shared" si="17"/>
        <v>030</v>
      </c>
      <c r="B151" s="10" t="s">
        <v>92</v>
      </c>
      <c r="C151" s="10" t="str">
        <f>"杨贤增"</f>
        <v>杨贤增</v>
      </c>
      <c r="D151" s="10" t="str">
        <f>"2021021116"</f>
        <v>2021021116</v>
      </c>
      <c r="E151" s="14">
        <v>13</v>
      </c>
      <c r="F151" s="10">
        <v>90.1</v>
      </c>
      <c r="G151" s="16">
        <v>71.5</v>
      </c>
    </row>
    <row r="152" ht="15.75" spans="1:7">
      <c r="A152" s="10" t="str">
        <f t="shared" si="17"/>
        <v>030</v>
      </c>
      <c r="B152" s="10" t="s">
        <v>92</v>
      </c>
      <c r="C152" s="10" t="str">
        <f>"熊南川"</f>
        <v>熊南川</v>
      </c>
      <c r="D152" s="10" t="str">
        <f>"2021021123"</f>
        <v>2021021123</v>
      </c>
      <c r="E152" s="14">
        <v>15</v>
      </c>
      <c r="F152" s="10">
        <v>88.3</v>
      </c>
      <c r="G152" s="16">
        <v>64.955</v>
      </c>
    </row>
    <row r="153" s="3" customFormat="true" ht="15.75" spans="1:10">
      <c r="A153" s="10" t="str">
        <f t="shared" ref="A153:A156" si="18">"033"</f>
        <v>033</v>
      </c>
      <c r="B153" s="10" t="s">
        <v>93</v>
      </c>
      <c r="C153" s="10" t="str">
        <f>"张文萍"</f>
        <v>张文萍</v>
      </c>
      <c r="D153" s="10" t="str">
        <f>"2021022908"</f>
        <v>2021022908</v>
      </c>
      <c r="E153" s="14">
        <v>4</v>
      </c>
      <c r="F153" s="10">
        <v>94</v>
      </c>
      <c r="G153" s="16">
        <v>81.7</v>
      </c>
      <c r="H153" s="19"/>
      <c r="I153" s="19"/>
      <c r="J153" s="19"/>
    </row>
    <row r="154" s="3" customFormat="true" ht="15.75" spans="1:10">
      <c r="A154" s="10" t="str">
        <f t="shared" si="18"/>
        <v>033</v>
      </c>
      <c r="B154" s="10" t="s">
        <v>93</v>
      </c>
      <c r="C154" s="10" t="str">
        <f>"潘虹"</f>
        <v>潘虹</v>
      </c>
      <c r="D154" s="10" t="str">
        <f>"2021023013"</f>
        <v>2021023013</v>
      </c>
      <c r="E154" s="14">
        <v>3</v>
      </c>
      <c r="F154" s="10">
        <v>95.6</v>
      </c>
      <c r="G154" s="16">
        <v>81.42</v>
      </c>
      <c r="H154" s="19"/>
      <c r="I154" s="19"/>
      <c r="J154" s="19"/>
    </row>
    <row r="155" ht="15.75" spans="1:7">
      <c r="A155" s="10" t="str">
        <f t="shared" si="18"/>
        <v>033</v>
      </c>
      <c r="B155" s="10" t="s">
        <v>93</v>
      </c>
      <c r="C155" s="10" t="str">
        <f>"田飞"</f>
        <v>田飞</v>
      </c>
      <c r="D155" s="10" t="str">
        <f>"2021023405"</f>
        <v>2021023405</v>
      </c>
      <c r="E155" s="14">
        <v>1</v>
      </c>
      <c r="F155" s="10">
        <v>88.33</v>
      </c>
      <c r="G155" s="16">
        <v>75.855</v>
      </c>
    </row>
    <row r="156" ht="15.75" spans="1:7">
      <c r="A156" s="10" t="str">
        <f t="shared" si="18"/>
        <v>033</v>
      </c>
      <c r="B156" s="10" t="s">
        <v>93</v>
      </c>
      <c r="C156" s="10" t="str">
        <f>"沈思敏"</f>
        <v>沈思敏</v>
      </c>
      <c r="D156" s="10" t="str">
        <f>"2021022915"</f>
        <v>2021022915</v>
      </c>
      <c r="E156" s="14">
        <v>2</v>
      </c>
      <c r="F156" s="10">
        <v>80.67</v>
      </c>
      <c r="G156" s="16">
        <v>74.61</v>
      </c>
    </row>
    <row r="157" s="3" customFormat="true" ht="15.75" spans="1:10">
      <c r="A157" s="10" t="str">
        <f t="shared" ref="A157:A162" si="19">"032"</f>
        <v>032</v>
      </c>
      <c r="B157" s="10" t="s">
        <v>94</v>
      </c>
      <c r="C157" s="10" t="str">
        <f>"廖芳利"</f>
        <v>廖芳利</v>
      </c>
      <c r="D157" s="10" t="str">
        <f>"2021021920"</f>
        <v>2021021920</v>
      </c>
      <c r="E157" s="14">
        <v>3</v>
      </c>
      <c r="F157" s="10">
        <v>89.5</v>
      </c>
      <c r="G157" s="16">
        <v>83.025</v>
      </c>
      <c r="H157" s="19"/>
      <c r="I157" s="19"/>
      <c r="J157" s="19"/>
    </row>
    <row r="158" s="3" customFormat="true" ht="15.75" spans="1:10">
      <c r="A158" s="10" t="str">
        <f t="shared" si="19"/>
        <v>032</v>
      </c>
      <c r="B158" s="10" t="s">
        <v>94</v>
      </c>
      <c r="C158" s="10" t="str">
        <f>"向旭敏"</f>
        <v>向旭敏</v>
      </c>
      <c r="D158" s="10" t="str">
        <f>"2021021925"</f>
        <v>2021021925</v>
      </c>
      <c r="E158" s="14">
        <v>6</v>
      </c>
      <c r="F158" s="10">
        <v>85.7</v>
      </c>
      <c r="G158" s="16">
        <v>81.95</v>
      </c>
      <c r="H158" s="19"/>
      <c r="I158" s="19"/>
      <c r="J158" s="19"/>
    </row>
    <row r="159" s="3" customFormat="true" ht="15.75" spans="1:10">
      <c r="A159" s="10" t="str">
        <f t="shared" si="19"/>
        <v>032</v>
      </c>
      <c r="B159" s="10" t="s">
        <v>94</v>
      </c>
      <c r="C159" s="10" t="str">
        <f>"全丽雯"</f>
        <v>全丽雯</v>
      </c>
      <c r="D159" s="10" t="str">
        <f>"2021021918"</f>
        <v>2021021918</v>
      </c>
      <c r="E159" s="14">
        <v>5</v>
      </c>
      <c r="F159" s="10">
        <v>85.8</v>
      </c>
      <c r="G159" s="16">
        <v>81.4</v>
      </c>
      <c r="H159" s="19"/>
      <c r="I159" s="19"/>
      <c r="J159" s="19"/>
    </row>
    <row r="160" ht="15.75" spans="1:7">
      <c r="A160" s="10" t="str">
        <f t="shared" si="19"/>
        <v>032</v>
      </c>
      <c r="B160" s="10" t="s">
        <v>94</v>
      </c>
      <c r="C160" s="10" t="str">
        <f>"莫才莲"</f>
        <v>莫才莲</v>
      </c>
      <c r="D160" s="10" t="str">
        <f>"2021021926"</f>
        <v>2021021926</v>
      </c>
      <c r="E160" s="14">
        <v>1</v>
      </c>
      <c r="F160" s="10">
        <v>86</v>
      </c>
      <c r="G160" s="16">
        <v>76.525</v>
      </c>
    </row>
    <row r="161" ht="15.75" spans="1:7">
      <c r="A161" s="10" t="str">
        <f t="shared" si="19"/>
        <v>032</v>
      </c>
      <c r="B161" s="10" t="s">
        <v>94</v>
      </c>
      <c r="C161" s="10" t="str">
        <f>"赵雅芝"</f>
        <v>赵雅芝</v>
      </c>
      <c r="D161" s="10" t="str">
        <f>"2021021915"</f>
        <v>2021021915</v>
      </c>
      <c r="E161" s="14">
        <v>2</v>
      </c>
      <c r="F161" s="10">
        <v>84.5</v>
      </c>
      <c r="G161" s="16">
        <v>76.225</v>
      </c>
    </row>
    <row r="162" ht="15.75" spans="1:7">
      <c r="A162" s="10" t="str">
        <f t="shared" si="19"/>
        <v>032</v>
      </c>
      <c r="B162" s="10" t="s">
        <v>94</v>
      </c>
      <c r="C162" s="10" t="str">
        <f>"夏璟"</f>
        <v>夏璟</v>
      </c>
      <c r="D162" s="10" t="str">
        <f>"2021021927"</f>
        <v>2021021927</v>
      </c>
      <c r="E162" s="14">
        <v>4</v>
      </c>
      <c r="F162" s="10">
        <v>83.3</v>
      </c>
      <c r="G162" s="16">
        <v>76.025</v>
      </c>
    </row>
    <row r="163" s="3" customFormat="true" ht="15.75" spans="1:10">
      <c r="A163" s="10" t="str">
        <f t="shared" ref="A163:A165" si="20">"026"</f>
        <v>026</v>
      </c>
      <c r="B163" s="10" t="s">
        <v>95</v>
      </c>
      <c r="C163" s="10" t="str">
        <f>"张怡帆"</f>
        <v>张怡帆</v>
      </c>
      <c r="D163" s="10" t="str">
        <f>"2021020528"</f>
        <v>2021020528</v>
      </c>
      <c r="E163" s="14">
        <v>1</v>
      </c>
      <c r="F163" s="10">
        <v>88.8</v>
      </c>
      <c r="G163" s="16">
        <v>82.512</v>
      </c>
      <c r="H163" s="19"/>
      <c r="I163" s="19"/>
      <c r="J163" s="19"/>
    </row>
    <row r="164" ht="15.75" spans="1:7">
      <c r="A164" s="10" t="str">
        <f t="shared" si="20"/>
        <v>026</v>
      </c>
      <c r="B164" s="10" t="s">
        <v>95</v>
      </c>
      <c r="C164" s="10" t="str">
        <f>"田慧生"</f>
        <v>田慧生</v>
      </c>
      <c r="D164" s="10" t="str">
        <f>"2021020612"</f>
        <v>2021020612</v>
      </c>
      <c r="E164" s="14">
        <v>2</v>
      </c>
      <c r="F164" s="10">
        <v>90</v>
      </c>
      <c r="G164" s="16">
        <v>81.535</v>
      </c>
    </row>
    <row r="165" ht="15.75" spans="1:7">
      <c r="A165" s="10" t="str">
        <f t="shared" si="20"/>
        <v>026</v>
      </c>
      <c r="B165" s="10" t="s">
        <v>95</v>
      </c>
      <c r="C165" s="10" t="str">
        <f>"杨玲"</f>
        <v>杨玲</v>
      </c>
      <c r="D165" s="10" t="str">
        <f>"2021020603"</f>
        <v>2021020603</v>
      </c>
      <c r="E165" s="14">
        <v>3</v>
      </c>
      <c r="F165" s="10">
        <v>87</v>
      </c>
      <c r="G165" s="16">
        <v>81.13</v>
      </c>
    </row>
    <row r="166" s="3" customFormat="true" ht="15.75" spans="1:10">
      <c r="A166" s="10" t="str">
        <f t="shared" ref="A166:A168" si="21">"027"</f>
        <v>027</v>
      </c>
      <c r="B166" s="10" t="s">
        <v>96</v>
      </c>
      <c r="C166" s="10" t="str">
        <f>"刘蕊菲"</f>
        <v>刘蕊菲</v>
      </c>
      <c r="D166" s="10" t="str">
        <f>"2021020722"</f>
        <v>2021020722</v>
      </c>
      <c r="E166" s="14">
        <v>6</v>
      </c>
      <c r="F166" s="10">
        <v>93.1</v>
      </c>
      <c r="G166" s="16">
        <v>87.928</v>
      </c>
      <c r="H166" s="19"/>
      <c r="I166" s="19"/>
      <c r="J166" s="19"/>
    </row>
    <row r="167" ht="15.75" spans="1:7">
      <c r="A167" s="10" t="str">
        <f t="shared" si="21"/>
        <v>027</v>
      </c>
      <c r="B167" s="10" t="s">
        <v>96</v>
      </c>
      <c r="C167" s="10" t="str">
        <f>"袁丹"</f>
        <v>袁丹</v>
      </c>
      <c r="D167" s="10" t="str">
        <f>"2021020626"</f>
        <v>2021020626</v>
      </c>
      <c r="E167" s="14">
        <v>4</v>
      </c>
      <c r="F167" s="10">
        <v>90.1</v>
      </c>
      <c r="G167" s="16">
        <v>85.668</v>
      </c>
    </row>
    <row r="168" ht="15.75" spans="1:7">
      <c r="A168" s="10" t="str">
        <f t="shared" si="21"/>
        <v>027</v>
      </c>
      <c r="B168" s="10" t="s">
        <v>96</v>
      </c>
      <c r="C168" s="10" t="str">
        <f>"张宸宁"</f>
        <v>张宸宁</v>
      </c>
      <c r="D168" s="10" t="str">
        <f>"2021020624"</f>
        <v>2021020624</v>
      </c>
      <c r="E168" s="14">
        <v>5</v>
      </c>
      <c r="F168" s="10">
        <v>90</v>
      </c>
      <c r="G168" s="16">
        <v>84.797</v>
      </c>
    </row>
    <row r="169" s="3" customFormat="true" ht="15.75" spans="1:10">
      <c r="A169" s="10" t="str">
        <f t="shared" ref="A169:A171" si="22">"028"</f>
        <v>028</v>
      </c>
      <c r="B169" s="10" t="s">
        <v>97</v>
      </c>
      <c r="C169" s="10" t="str">
        <f>"宾宇"</f>
        <v>宾宇</v>
      </c>
      <c r="D169" s="10" t="str">
        <f>"2021020823"</f>
        <v>2021020823</v>
      </c>
      <c r="E169" s="14">
        <v>7</v>
      </c>
      <c r="F169" s="10">
        <v>92.1</v>
      </c>
      <c r="G169" s="16">
        <v>85.43</v>
      </c>
      <c r="H169" s="19"/>
      <c r="I169" s="19"/>
      <c r="J169" s="19"/>
    </row>
    <row r="170" ht="15.75" spans="1:7">
      <c r="A170" s="10" t="str">
        <f t="shared" si="22"/>
        <v>028</v>
      </c>
      <c r="B170" s="10" t="s">
        <v>97</v>
      </c>
      <c r="C170" s="10" t="str">
        <f>"唐诗荟"</f>
        <v>唐诗荟</v>
      </c>
      <c r="D170" s="10" t="str">
        <f>"2021020827"</f>
        <v>2021020827</v>
      </c>
      <c r="E170" s="14">
        <v>9</v>
      </c>
      <c r="F170" s="10">
        <v>90</v>
      </c>
      <c r="G170" s="16">
        <v>83.143</v>
      </c>
    </row>
    <row r="171" ht="15.75" spans="1:7">
      <c r="A171" s="10" t="str">
        <f t="shared" si="22"/>
        <v>028</v>
      </c>
      <c r="B171" s="10" t="s">
        <v>97</v>
      </c>
      <c r="C171" s="10" t="str">
        <f>"杨慧"</f>
        <v>杨慧</v>
      </c>
      <c r="D171" s="10" t="str">
        <f>"2021020818"</f>
        <v>2021020818</v>
      </c>
      <c r="E171" s="14" t="s">
        <v>19</v>
      </c>
      <c r="F171" s="10">
        <v>0</v>
      </c>
      <c r="G171" s="16">
        <v>54.762</v>
      </c>
    </row>
    <row r="172" s="3" customFormat="true" ht="15.75" spans="1:10">
      <c r="A172" s="10" t="str">
        <f>"023"</f>
        <v>023</v>
      </c>
      <c r="B172" s="10" t="s">
        <v>98</v>
      </c>
      <c r="C172" s="10" t="str">
        <f>"李艺"</f>
        <v>李艺</v>
      </c>
      <c r="D172" s="10" t="str">
        <f>"2021014326"</f>
        <v>2021014326</v>
      </c>
      <c r="E172" s="14">
        <v>2</v>
      </c>
      <c r="F172" s="10">
        <v>92.67</v>
      </c>
      <c r="G172" s="16">
        <v>90.335</v>
      </c>
      <c r="H172" s="19"/>
      <c r="I172" s="19"/>
      <c r="J172" s="19"/>
    </row>
    <row r="173" ht="15.75" spans="1:7">
      <c r="A173" s="10" t="str">
        <f>"023"</f>
        <v>023</v>
      </c>
      <c r="B173" s="10" t="s">
        <v>98</v>
      </c>
      <c r="C173" s="10" t="str">
        <f>"唐蜜"</f>
        <v>唐蜜</v>
      </c>
      <c r="D173" s="10" t="str">
        <f>"2021014501"</f>
        <v>2021014501</v>
      </c>
      <c r="E173" s="14">
        <v>1</v>
      </c>
      <c r="F173" s="10">
        <v>89.33</v>
      </c>
      <c r="G173" s="16">
        <v>88.29</v>
      </c>
    </row>
    <row r="174" s="3" customFormat="true" ht="15.75" spans="1:10">
      <c r="A174" s="10" t="str">
        <f t="shared" ref="A174:A208" si="23">"021"</f>
        <v>021</v>
      </c>
      <c r="B174" s="10" t="s">
        <v>99</v>
      </c>
      <c r="C174" s="10" t="str">
        <f>"贺婧娴"</f>
        <v>贺婧娴</v>
      </c>
      <c r="D174" s="10" t="str">
        <f>"2021012129"</f>
        <v>2021012129</v>
      </c>
      <c r="E174" s="14">
        <v>3</v>
      </c>
      <c r="F174" s="10">
        <v>94.67</v>
      </c>
      <c r="G174" s="16">
        <v>84.185</v>
      </c>
      <c r="H174" s="19"/>
      <c r="I174" s="19"/>
      <c r="J174" s="19"/>
    </row>
    <row r="175" s="3" customFormat="true" ht="15.75" spans="1:10">
      <c r="A175" s="10" t="str">
        <f t="shared" si="23"/>
        <v>021</v>
      </c>
      <c r="B175" s="10" t="s">
        <v>99</v>
      </c>
      <c r="C175" s="10" t="str">
        <f>"阳华顺"</f>
        <v>阳华顺</v>
      </c>
      <c r="D175" s="10" t="str">
        <f>"2021012302"</f>
        <v>2021012302</v>
      </c>
      <c r="E175" s="14">
        <v>17</v>
      </c>
      <c r="F175" s="10">
        <v>92.67</v>
      </c>
      <c r="G175" s="16">
        <v>83.185</v>
      </c>
      <c r="H175" s="19"/>
      <c r="I175" s="19"/>
      <c r="J175" s="19"/>
    </row>
    <row r="176" s="3" customFormat="true" ht="15.75" spans="1:10">
      <c r="A176" s="10" t="str">
        <f t="shared" si="23"/>
        <v>021</v>
      </c>
      <c r="B176" s="10" t="s">
        <v>99</v>
      </c>
      <c r="C176" s="10" t="str">
        <f>"谭旭佟"</f>
        <v>谭旭佟</v>
      </c>
      <c r="D176" s="10" t="str">
        <f>"2021012305"</f>
        <v>2021012305</v>
      </c>
      <c r="E176" s="14">
        <v>6</v>
      </c>
      <c r="F176" s="10">
        <v>91</v>
      </c>
      <c r="G176" s="16">
        <v>83.15</v>
      </c>
      <c r="H176" s="19"/>
      <c r="I176" s="19"/>
      <c r="J176" s="19"/>
    </row>
    <row r="177" s="3" customFormat="true" ht="15.75" spans="1:10">
      <c r="A177" s="10" t="str">
        <f t="shared" si="23"/>
        <v>021</v>
      </c>
      <c r="B177" s="10" t="s">
        <v>99</v>
      </c>
      <c r="C177" s="10" t="str">
        <f>"龙莉"</f>
        <v>龙莉</v>
      </c>
      <c r="D177" s="10" t="str">
        <f>"2021011318"</f>
        <v>2021011318</v>
      </c>
      <c r="E177" s="14">
        <v>5</v>
      </c>
      <c r="F177" s="10">
        <v>92.67</v>
      </c>
      <c r="G177" s="16">
        <v>81.935</v>
      </c>
      <c r="H177" s="19"/>
      <c r="I177" s="19"/>
      <c r="J177" s="19"/>
    </row>
    <row r="178" s="3" customFormat="true" ht="15.75" spans="1:10">
      <c r="A178" s="10" t="str">
        <f t="shared" si="23"/>
        <v>021</v>
      </c>
      <c r="B178" s="10" t="s">
        <v>99</v>
      </c>
      <c r="C178" s="10" t="str">
        <f>"文熹"</f>
        <v>文熹</v>
      </c>
      <c r="D178" s="10" t="str">
        <f>"2021011428"</f>
        <v>2021011428</v>
      </c>
      <c r="E178" s="14">
        <v>22</v>
      </c>
      <c r="F178" s="10">
        <v>90</v>
      </c>
      <c r="G178" s="16">
        <v>81.625</v>
      </c>
      <c r="H178" s="19"/>
      <c r="I178" s="19"/>
      <c r="J178" s="19"/>
    </row>
    <row r="179" s="3" customFormat="true" ht="15.75" spans="1:10">
      <c r="A179" s="10" t="str">
        <f t="shared" si="23"/>
        <v>021</v>
      </c>
      <c r="B179" s="10" t="s">
        <v>99</v>
      </c>
      <c r="C179" s="10" t="str">
        <f>"向玉翠"</f>
        <v>向玉翠</v>
      </c>
      <c r="D179" s="10" t="str">
        <f>"2021011508"</f>
        <v>2021011508</v>
      </c>
      <c r="E179" s="14">
        <v>18</v>
      </c>
      <c r="F179" s="10">
        <v>88.33</v>
      </c>
      <c r="G179" s="16">
        <v>81.365</v>
      </c>
      <c r="H179" s="19"/>
      <c r="I179" s="19"/>
      <c r="J179" s="19"/>
    </row>
    <row r="180" s="3" customFormat="true" ht="15.75" spans="1:10">
      <c r="A180" s="10" t="str">
        <f t="shared" si="23"/>
        <v>021</v>
      </c>
      <c r="B180" s="10" t="s">
        <v>99</v>
      </c>
      <c r="C180" s="10" t="str">
        <f>"丁玫琳"</f>
        <v>丁玫琳</v>
      </c>
      <c r="D180" s="10" t="str">
        <f>"2021011826"</f>
        <v>2021011826</v>
      </c>
      <c r="E180" s="14">
        <v>24</v>
      </c>
      <c r="F180" s="10">
        <v>89.33</v>
      </c>
      <c r="G180" s="16">
        <v>81.265</v>
      </c>
      <c r="H180" s="19"/>
      <c r="I180" s="19"/>
      <c r="J180" s="19"/>
    </row>
    <row r="181" s="3" customFormat="true" ht="15.75" spans="1:10">
      <c r="A181" s="10" t="str">
        <f t="shared" si="23"/>
        <v>021</v>
      </c>
      <c r="B181" s="10" t="s">
        <v>99</v>
      </c>
      <c r="C181" s="10" t="str">
        <f>"熊飓"</f>
        <v>熊飓</v>
      </c>
      <c r="D181" s="10" t="str">
        <f>"2021011212"</f>
        <v>2021011212</v>
      </c>
      <c r="E181" s="14">
        <v>16</v>
      </c>
      <c r="F181" s="10">
        <v>90</v>
      </c>
      <c r="G181" s="16">
        <v>81.1</v>
      </c>
      <c r="H181" s="19"/>
      <c r="I181" s="19"/>
      <c r="J181" s="19"/>
    </row>
    <row r="182" s="3" customFormat="true" ht="15.75" spans="1:10">
      <c r="A182" s="10" t="str">
        <f t="shared" si="23"/>
        <v>021</v>
      </c>
      <c r="B182" s="10" t="s">
        <v>99</v>
      </c>
      <c r="C182" s="10" t="str">
        <f>"奠柳菁"</f>
        <v>奠柳菁</v>
      </c>
      <c r="D182" s="10" t="str">
        <f>"2021010906"</f>
        <v>2021010906</v>
      </c>
      <c r="E182" s="14">
        <v>8</v>
      </c>
      <c r="F182" s="10">
        <v>91</v>
      </c>
      <c r="G182" s="16">
        <v>80.85</v>
      </c>
      <c r="H182" s="19"/>
      <c r="I182" s="19"/>
      <c r="J182" s="19"/>
    </row>
    <row r="183" s="3" customFormat="true" ht="15.75" spans="1:10">
      <c r="A183" s="10" t="str">
        <f t="shared" si="23"/>
        <v>021</v>
      </c>
      <c r="B183" s="10" t="s">
        <v>99</v>
      </c>
      <c r="C183" s="10" t="str">
        <f>"李莹莹"</f>
        <v>李莹莹</v>
      </c>
      <c r="D183" s="10" t="str">
        <f>"2021012002"</f>
        <v>2021012002</v>
      </c>
      <c r="E183" s="14">
        <v>13</v>
      </c>
      <c r="F183" s="10">
        <v>90.33</v>
      </c>
      <c r="G183" s="16">
        <v>80.69</v>
      </c>
      <c r="H183" s="19"/>
      <c r="I183" s="19"/>
      <c r="J183" s="19"/>
    </row>
    <row r="184" s="3" customFormat="true" ht="15.75" spans="1:10">
      <c r="A184" s="10" t="str">
        <f t="shared" si="23"/>
        <v>021</v>
      </c>
      <c r="B184" s="10" t="s">
        <v>99</v>
      </c>
      <c r="C184" s="10" t="str">
        <f>"姚燕平"</f>
        <v>姚燕平</v>
      </c>
      <c r="D184" s="10" t="str">
        <f>"2021011016"</f>
        <v>2021011016</v>
      </c>
      <c r="E184" s="14">
        <v>12</v>
      </c>
      <c r="F184" s="10">
        <v>90</v>
      </c>
      <c r="G184" s="16">
        <v>80.55</v>
      </c>
      <c r="H184" s="19"/>
      <c r="I184" s="19"/>
      <c r="J184" s="19"/>
    </row>
    <row r="185" s="3" customFormat="true" ht="15.75" spans="1:10">
      <c r="A185" s="10" t="str">
        <f t="shared" si="23"/>
        <v>021</v>
      </c>
      <c r="B185" s="10" t="s">
        <v>99</v>
      </c>
      <c r="C185" s="10" t="str">
        <f>"唐凤娟"</f>
        <v>唐凤娟</v>
      </c>
      <c r="D185" s="10" t="str">
        <f>"2021011104"</f>
        <v>2021011104</v>
      </c>
      <c r="E185" s="14">
        <v>26</v>
      </c>
      <c r="F185" s="10">
        <v>85.33</v>
      </c>
      <c r="G185" s="16">
        <v>79.815</v>
      </c>
      <c r="H185" s="19"/>
      <c r="I185" s="19"/>
      <c r="J185" s="19"/>
    </row>
    <row r="186" s="3" customFormat="true" ht="15.75" spans="1:10">
      <c r="A186" s="10" t="str">
        <f t="shared" si="23"/>
        <v>021</v>
      </c>
      <c r="B186" s="10" t="s">
        <v>99</v>
      </c>
      <c r="C186" s="10" t="str">
        <f>"孙玉莹"</f>
        <v>孙玉莹</v>
      </c>
      <c r="D186" s="10" t="str">
        <f>"2021011722"</f>
        <v>2021011722</v>
      </c>
      <c r="E186" s="14">
        <v>25</v>
      </c>
      <c r="F186" s="10">
        <v>82.67</v>
      </c>
      <c r="G186" s="16">
        <v>79.235</v>
      </c>
      <c r="H186" s="19"/>
      <c r="I186" s="19"/>
      <c r="J186" s="19"/>
    </row>
    <row r="187" s="3" customFormat="true" ht="15.75" spans="1:10">
      <c r="A187" s="10" t="str">
        <f t="shared" si="23"/>
        <v>021</v>
      </c>
      <c r="B187" s="10" t="s">
        <v>99</v>
      </c>
      <c r="C187" s="10" t="str">
        <f>"刘群"</f>
        <v>刘群</v>
      </c>
      <c r="D187" s="10" t="str">
        <f>"2021011520"</f>
        <v>2021011520</v>
      </c>
      <c r="E187" s="14">
        <v>35</v>
      </c>
      <c r="F187" s="10">
        <v>85.67</v>
      </c>
      <c r="G187" s="16">
        <v>79.16</v>
      </c>
      <c r="H187" s="19"/>
      <c r="I187" s="19"/>
      <c r="J187" s="19"/>
    </row>
    <row r="188" s="3" customFormat="true" ht="15.75" spans="1:10">
      <c r="A188" s="10" t="str">
        <f t="shared" si="23"/>
        <v>021</v>
      </c>
      <c r="B188" s="10" t="s">
        <v>99</v>
      </c>
      <c r="C188" s="10" t="str">
        <f>"杜敏菁"</f>
        <v>杜敏菁</v>
      </c>
      <c r="D188" s="10" t="str">
        <f>"2021010826"</f>
        <v>2021010826</v>
      </c>
      <c r="E188" s="14">
        <v>23</v>
      </c>
      <c r="F188" s="10">
        <v>86.67</v>
      </c>
      <c r="G188" s="16">
        <v>79.06</v>
      </c>
      <c r="H188" s="19"/>
      <c r="I188" s="19"/>
      <c r="J188" s="19"/>
    </row>
    <row r="189" s="3" customFormat="true" ht="15.75" spans="1:10">
      <c r="A189" s="10" t="str">
        <f t="shared" si="23"/>
        <v>021</v>
      </c>
      <c r="B189" s="10" t="s">
        <v>99</v>
      </c>
      <c r="C189" s="10" t="str">
        <f>"陈瑶"</f>
        <v>陈瑶</v>
      </c>
      <c r="D189" s="10" t="str">
        <f>"2021012219"</f>
        <v>2021012219</v>
      </c>
      <c r="E189" s="14">
        <v>33</v>
      </c>
      <c r="F189" s="10">
        <v>85</v>
      </c>
      <c r="G189" s="16">
        <v>79</v>
      </c>
      <c r="H189" s="19"/>
      <c r="I189" s="19"/>
      <c r="J189" s="19"/>
    </row>
    <row r="190" s="3" customFormat="true" ht="15.75" spans="1:10">
      <c r="A190" s="10" t="str">
        <f t="shared" si="23"/>
        <v>021</v>
      </c>
      <c r="B190" s="10" t="s">
        <v>99</v>
      </c>
      <c r="C190" s="10" t="str">
        <f>"李爱萍"</f>
        <v>李爱萍</v>
      </c>
      <c r="D190" s="10" t="str">
        <f>"2021011420"</f>
        <v>2021011420</v>
      </c>
      <c r="E190" s="14">
        <v>11</v>
      </c>
      <c r="F190" s="10">
        <v>84</v>
      </c>
      <c r="G190" s="16">
        <v>78.9</v>
      </c>
      <c r="H190" s="19"/>
      <c r="I190" s="19"/>
      <c r="J190" s="19"/>
    </row>
    <row r="191" ht="15.75" spans="1:7">
      <c r="A191" s="10" t="str">
        <f t="shared" si="23"/>
        <v>021</v>
      </c>
      <c r="B191" s="10" t="s">
        <v>99</v>
      </c>
      <c r="C191" s="10" t="str">
        <f>"夏璐"</f>
        <v>夏璐</v>
      </c>
      <c r="D191" s="10" t="str">
        <f>"2021012309"</f>
        <v>2021012309</v>
      </c>
      <c r="E191" s="14">
        <v>31</v>
      </c>
      <c r="F191" s="10">
        <v>85.67</v>
      </c>
      <c r="G191" s="16">
        <v>78.885</v>
      </c>
    </row>
    <row r="192" ht="15.75" spans="1:7">
      <c r="A192" s="10" t="str">
        <f t="shared" si="23"/>
        <v>021</v>
      </c>
      <c r="B192" s="10" t="s">
        <v>99</v>
      </c>
      <c r="C192" s="10" t="str">
        <f>"田婷"</f>
        <v>田婷</v>
      </c>
      <c r="D192" s="10" t="str">
        <f>"2021011915"</f>
        <v>2021011915</v>
      </c>
      <c r="E192" s="14">
        <v>34</v>
      </c>
      <c r="F192" s="10">
        <v>86</v>
      </c>
      <c r="G192" s="16">
        <v>78.875</v>
      </c>
    </row>
    <row r="193" ht="15.75" spans="1:7">
      <c r="A193" s="10" t="str">
        <f t="shared" si="23"/>
        <v>021</v>
      </c>
      <c r="B193" s="10" t="s">
        <v>99</v>
      </c>
      <c r="C193" s="10" t="str">
        <f>"彭琪"</f>
        <v>彭琪</v>
      </c>
      <c r="D193" s="10" t="str">
        <f>"2021012301"</f>
        <v>2021012301</v>
      </c>
      <c r="E193" s="14">
        <v>15</v>
      </c>
      <c r="F193" s="10">
        <v>88</v>
      </c>
      <c r="G193" s="16">
        <v>78.85</v>
      </c>
    </row>
    <row r="194" ht="15.75" spans="1:7">
      <c r="A194" s="10" t="str">
        <f t="shared" si="23"/>
        <v>021</v>
      </c>
      <c r="B194" s="10" t="s">
        <v>99</v>
      </c>
      <c r="C194" s="10" t="str">
        <f>"马英琪"</f>
        <v>马英琪</v>
      </c>
      <c r="D194" s="10" t="str">
        <f>"2021012113"</f>
        <v>2021012113</v>
      </c>
      <c r="E194" s="14">
        <v>4</v>
      </c>
      <c r="F194" s="10">
        <v>86.67</v>
      </c>
      <c r="G194" s="16">
        <v>78.81</v>
      </c>
    </row>
    <row r="195" ht="15.75" spans="1:7">
      <c r="A195" s="10" t="str">
        <f t="shared" si="23"/>
        <v>021</v>
      </c>
      <c r="B195" s="10" t="s">
        <v>99</v>
      </c>
      <c r="C195" s="10" t="str">
        <f>"冯凯"</f>
        <v>冯凯</v>
      </c>
      <c r="D195" s="10" t="str">
        <f>"2021011525"</f>
        <v>2021011525</v>
      </c>
      <c r="E195" s="14">
        <v>21</v>
      </c>
      <c r="F195" s="10">
        <v>87</v>
      </c>
      <c r="G195" s="16">
        <v>78.425</v>
      </c>
    </row>
    <row r="196" ht="15.75" spans="1:7">
      <c r="A196" s="10" t="str">
        <f t="shared" si="23"/>
        <v>021</v>
      </c>
      <c r="B196" s="10" t="s">
        <v>99</v>
      </c>
      <c r="C196" s="10" t="str">
        <f>"杨秋月"</f>
        <v>杨秋月</v>
      </c>
      <c r="D196" s="10" t="str">
        <f>"2021010519"</f>
        <v>2021010519</v>
      </c>
      <c r="E196" s="14">
        <v>29</v>
      </c>
      <c r="F196" s="10">
        <v>83.33</v>
      </c>
      <c r="G196" s="16">
        <v>78.19</v>
      </c>
    </row>
    <row r="197" ht="15.75" spans="1:7">
      <c r="A197" s="10" t="str">
        <f t="shared" si="23"/>
        <v>021</v>
      </c>
      <c r="B197" s="10" t="s">
        <v>99</v>
      </c>
      <c r="C197" s="10" t="str">
        <f>"杜雅洁"</f>
        <v>杜雅洁</v>
      </c>
      <c r="D197" s="10" t="str">
        <f>"2021012118"</f>
        <v>2021012118</v>
      </c>
      <c r="E197" s="14">
        <v>1</v>
      </c>
      <c r="F197" s="10">
        <v>85</v>
      </c>
      <c r="G197" s="16">
        <v>77.9</v>
      </c>
    </row>
    <row r="198" ht="15.75" spans="1:7">
      <c r="A198" s="10" t="str">
        <f t="shared" si="23"/>
        <v>021</v>
      </c>
      <c r="B198" s="10" t="s">
        <v>99</v>
      </c>
      <c r="C198" s="10" t="str">
        <f>"王英"</f>
        <v>王英</v>
      </c>
      <c r="D198" s="10" t="str">
        <f>"2021010725"</f>
        <v>2021010725</v>
      </c>
      <c r="E198" s="14">
        <v>2</v>
      </c>
      <c r="F198" s="10">
        <v>82.33</v>
      </c>
      <c r="G198" s="16">
        <v>77.865</v>
      </c>
    </row>
    <row r="199" ht="15.75" spans="1:7">
      <c r="A199" s="10" t="str">
        <f t="shared" si="23"/>
        <v>021</v>
      </c>
      <c r="B199" s="10" t="s">
        <v>99</v>
      </c>
      <c r="C199" s="10" t="str">
        <f>"张林枝"</f>
        <v>张林枝</v>
      </c>
      <c r="D199" s="10" t="str">
        <f>"2021011515"</f>
        <v>2021011515</v>
      </c>
      <c r="E199" s="14">
        <v>9</v>
      </c>
      <c r="F199" s="10">
        <v>85</v>
      </c>
      <c r="G199" s="16">
        <v>77.775</v>
      </c>
    </row>
    <row r="200" ht="15.75" spans="1:7">
      <c r="A200" s="10" t="str">
        <f t="shared" si="23"/>
        <v>021</v>
      </c>
      <c r="B200" s="10" t="s">
        <v>99</v>
      </c>
      <c r="C200" s="10" t="str">
        <f>"舒婷"</f>
        <v>舒婷</v>
      </c>
      <c r="D200" s="10" t="str">
        <f>"2021012204"</f>
        <v>2021012204</v>
      </c>
      <c r="E200" s="14">
        <v>14</v>
      </c>
      <c r="F200" s="10">
        <v>84.33</v>
      </c>
      <c r="G200" s="16">
        <v>77.715</v>
      </c>
    </row>
    <row r="201" ht="15.75" spans="1:7">
      <c r="A201" s="10" t="str">
        <f t="shared" si="23"/>
        <v>021</v>
      </c>
      <c r="B201" s="10" t="s">
        <v>99</v>
      </c>
      <c r="C201" s="10" t="str">
        <f>"李琼"</f>
        <v>李琼</v>
      </c>
      <c r="D201" s="10" t="str">
        <f>"2021011325"</f>
        <v>2021011325</v>
      </c>
      <c r="E201" s="14">
        <v>32</v>
      </c>
      <c r="F201" s="10">
        <v>84.67</v>
      </c>
      <c r="G201" s="16">
        <v>77.585</v>
      </c>
    </row>
    <row r="202" ht="15.75" spans="1:7">
      <c r="A202" s="10" t="str">
        <f t="shared" si="23"/>
        <v>021</v>
      </c>
      <c r="B202" s="10" t="s">
        <v>99</v>
      </c>
      <c r="C202" s="10" t="str">
        <f>"姚水霞"</f>
        <v>姚水霞</v>
      </c>
      <c r="D202" s="10" t="str">
        <f>"2021011404"</f>
        <v>2021011404</v>
      </c>
      <c r="E202" s="14">
        <v>28</v>
      </c>
      <c r="F202" s="10">
        <v>83.67</v>
      </c>
      <c r="G202" s="16">
        <v>77.56</v>
      </c>
    </row>
    <row r="203" ht="15.75" spans="1:7">
      <c r="A203" s="10" t="str">
        <f t="shared" si="23"/>
        <v>021</v>
      </c>
      <c r="B203" s="10" t="s">
        <v>99</v>
      </c>
      <c r="C203" s="10" t="str">
        <f>"吴淑嫔"</f>
        <v>吴淑嫔</v>
      </c>
      <c r="D203" s="10" t="str">
        <f>"2021012007"</f>
        <v>2021012007</v>
      </c>
      <c r="E203" s="14">
        <v>10</v>
      </c>
      <c r="F203" s="10">
        <v>84.67</v>
      </c>
      <c r="G203" s="16">
        <v>77.285</v>
      </c>
    </row>
    <row r="204" ht="15.75" spans="1:7">
      <c r="A204" s="10" t="str">
        <f t="shared" si="23"/>
        <v>021</v>
      </c>
      <c r="B204" s="10" t="s">
        <v>99</v>
      </c>
      <c r="C204" s="10" t="str">
        <f>"林红霞"</f>
        <v>林红霞</v>
      </c>
      <c r="D204" s="10" t="str">
        <f>"2021011218"</f>
        <v>2021011218</v>
      </c>
      <c r="E204" s="14">
        <v>19</v>
      </c>
      <c r="F204" s="10">
        <v>84.67</v>
      </c>
      <c r="G204" s="16">
        <v>77.185</v>
      </c>
    </row>
    <row r="205" ht="15.75" spans="1:7">
      <c r="A205" s="10" t="str">
        <f t="shared" si="23"/>
        <v>021</v>
      </c>
      <c r="B205" s="10" t="s">
        <v>99</v>
      </c>
      <c r="C205" s="10" t="str">
        <f>"张一"</f>
        <v>张一</v>
      </c>
      <c r="D205" s="10" t="str">
        <f>"2021010713"</f>
        <v>2021010713</v>
      </c>
      <c r="E205" s="14">
        <v>30</v>
      </c>
      <c r="F205" s="10">
        <v>83.33</v>
      </c>
      <c r="G205" s="16">
        <v>76.84</v>
      </c>
    </row>
    <row r="206" ht="15.75" spans="1:7">
      <c r="A206" s="10" t="str">
        <f t="shared" si="23"/>
        <v>021</v>
      </c>
      <c r="B206" s="10" t="s">
        <v>99</v>
      </c>
      <c r="C206" s="10" t="str">
        <f>"赵娜"</f>
        <v>赵娜</v>
      </c>
      <c r="D206" s="10" t="str">
        <f>"2021010928"</f>
        <v>2021010928</v>
      </c>
      <c r="E206" s="14">
        <v>7</v>
      </c>
      <c r="F206" s="10">
        <v>83.33</v>
      </c>
      <c r="G206" s="16">
        <v>76.79</v>
      </c>
    </row>
    <row r="207" ht="15.75" spans="1:7">
      <c r="A207" s="10" t="str">
        <f t="shared" si="23"/>
        <v>021</v>
      </c>
      <c r="B207" s="10" t="s">
        <v>99</v>
      </c>
      <c r="C207" s="10" t="str">
        <f>"杨露"</f>
        <v>杨露</v>
      </c>
      <c r="D207" s="10" t="str">
        <f>"2021011804"</f>
        <v>2021011804</v>
      </c>
      <c r="E207" s="14">
        <v>27</v>
      </c>
      <c r="F207" s="10">
        <v>81.67</v>
      </c>
      <c r="G207" s="16">
        <v>76.435</v>
      </c>
    </row>
    <row r="208" ht="15.75" spans="1:7">
      <c r="A208" s="10" t="str">
        <f t="shared" si="23"/>
        <v>021</v>
      </c>
      <c r="B208" s="10" t="s">
        <v>99</v>
      </c>
      <c r="C208" s="10" t="str">
        <f>"向丽华"</f>
        <v>向丽华</v>
      </c>
      <c r="D208" s="10" t="str">
        <f>"2021011311"</f>
        <v>2021011311</v>
      </c>
      <c r="E208" s="14">
        <v>20</v>
      </c>
      <c r="F208" s="10">
        <v>80.33</v>
      </c>
      <c r="G208" s="16">
        <v>76.265</v>
      </c>
    </row>
    <row r="209" s="3" customFormat="true" ht="15.75" spans="1:10">
      <c r="A209" s="10" t="str">
        <f>"035"</f>
        <v>035</v>
      </c>
      <c r="B209" s="10" t="s">
        <v>100</v>
      </c>
      <c r="C209" s="10" t="str">
        <f>"杨顺松"</f>
        <v>杨顺松</v>
      </c>
      <c r="D209" s="10" t="str">
        <f>"2021021930"</f>
        <v>2021021930</v>
      </c>
      <c r="E209" s="14">
        <v>13</v>
      </c>
      <c r="F209" s="10">
        <v>87.53</v>
      </c>
      <c r="G209" s="16">
        <v>78.377</v>
      </c>
      <c r="H209" s="19"/>
      <c r="I209" s="19"/>
      <c r="J209" s="19"/>
    </row>
    <row r="210" s="3" customFormat="true" ht="15.75" spans="1:10">
      <c r="A210" s="10" t="str">
        <f>"035"</f>
        <v>035</v>
      </c>
      <c r="B210" s="10" t="s">
        <v>100</v>
      </c>
      <c r="C210" s="10" t="str">
        <f>"易子程"</f>
        <v>易子程</v>
      </c>
      <c r="D210" s="10" t="str">
        <f>"2021022002"</f>
        <v>2021022002</v>
      </c>
      <c r="E210" s="14">
        <v>2</v>
      </c>
      <c r="F210" s="10">
        <v>86</v>
      </c>
      <c r="G210" s="16">
        <v>75.053</v>
      </c>
      <c r="H210" s="19"/>
      <c r="I210" s="19"/>
      <c r="J210" s="19"/>
    </row>
    <row r="211" s="3" customFormat="true" ht="15.75" spans="1:10">
      <c r="A211" s="10" t="str">
        <f t="shared" ref="A211:A216" si="24">"036"</f>
        <v>036</v>
      </c>
      <c r="B211" s="10" t="s">
        <v>101</v>
      </c>
      <c r="C211" s="10" t="str">
        <f>"李卓妍"</f>
        <v>李卓妍</v>
      </c>
      <c r="D211" s="10" t="str">
        <f>"2021022013"</f>
        <v>2021022013</v>
      </c>
      <c r="E211" s="14">
        <v>21</v>
      </c>
      <c r="F211" s="10">
        <v>88.9</v>
      </c>
      <c r="G211" s="16">
        <v>81.35</v>
      </c>
      <c r="H211" s="19"/>
      <c r="I211" s="19"/>
      <c r="J211" s="19"/>
    </row>
    <row r="212" s="3" customFormat="true" ht="15.75" spans="1:10">
      <c r="A212" s="10" t="str">
        <f t="shared" si="24"/>
        <v>036</v>
      </c>
      <c r="B212" s="10" t="s">
        <v>101</v>
      </c>
      <c r="C212" s="10" t="str">
        <f>"石清华"</f>
        <v>石清华</v>
      </c>
      <c r="D212" s="10" t="str">
        <f>"2021022006"</f>
        <v>2021022006</v>
      </c>
      <c r="E212" s="14">
        <v>10</v>
      </c>
      <c r="F212" s="10">
        <v>85.97</v>
      </c>
      <c r="G212" s="16">
        <v>79.308</v>
      </c>
      <c r="H212" s="19"/>
      <c r="I212" s="19"/>
      <c r="J212" s="19"/>
    </row>
    <row r="213" s="4" customFormat="true" ht="15.75" spans="1:10">
      <c r="A213" s="10" t="str">
        <f t="shared" si="24"/>
        <v>036</v>
      </c>
      <c r="B213" s="10" t="s">
        <v>101</v>
      </c>
      <c r="C213" s="10" t="str">
        <f>"向琼琼"</f>
        <v>向琼琼</v>
      </c>
      <c r="D213" s="10" t="str">
        <f>"2021022010"</f>
        <v>2021022010</v>
      </c>
      <c r="E213" s="14">
        <v>15</v>
      </c>
      <c r="F213" s="10">
        <v>87.33</v>
      </c>
      <c r="G213" s="16">
        <v>78.668</v>
      </c>
      <c r="H213" s="21"/>
      <c r="I213" s="21"/>
      <c r="J213" s="21"/>
    </row>
    <row r="214" s="4" customFormat="true" ht="15.75" spans="1:10">
      <c r="A214" s="10" t="str">
        <f t="shared" si="24"/>
        <v>036</v>
      </c>
      <c r="B214" s="10" t="s">
        <v>101</v>
      </c>
      <c r="C214" s="10" t="str">
        <f>"邹雅洁"</f>
        <v>邹雅洁</v>
      </c>
      <c r="D214" s="10" t="str">
        <f>"2021022012"</f>
        <v>2021022012</v>
      </c>
      <c r="E214" s="14">
        <v>22</v>
      </c>
      <c r="F214" s="10">
        <v>87.1</v>
      </c>
      <c r="G214" s="16">
        <v>78.607</v>
      </c>
      <c r="H214" s="21"/>
      <c r="I214" s="21"/>
      <c r="J214" s="21"/>
    </row>
    <row r="215" s="4" customFormat="true" ht="15.75" spans="1:10">
      <c r="A215" s="10" t="str">
        <f t="shared" si="24"/>
        <v>036</v>
      </c>
      <c r="B215" s="10" t="s">
        <v>101</v>
      </c>
      <c r="C215" s="10" t="str">
        <f>"周蕾蕾"</f>
        <v>周蕾蕾</v>
      </c>
      <c r="D215" s="10" t="str">
        <f>"2021022014"</f>
        <v>2021022014</v>
      </c>
      <c r="E215" s="14">
        <v>8</v>
      </c>
      <c r="F215" s="10">
        <v>85.6</v>
      </c>
      <c r="G215" s="16">
        <v>76.077</v>
      </c>
      <c r="H215" s="21"/>
      <c r="I215" s="21"/>
      <c r="J215" s="21"/>
    </row>
    <row r="216" s="4" customFormat="true" ht="15.75" spans="1:10">
      <c r="A216" s="10" t="str">
        <f t="shared" si="24"/>
        <v>036</v>
      </c>
      <c r="B216" s="10" t="s">
        <v>101</v>
      </c>
      <c r="C216" s="10" t="str">
        <f>"仇佳源"</f>
        <v>仇佳源</v>
      </c>
      <c r="D216" s="10" t="str">
        <f>"2021022007"</f>
        <v>2021022007</v>
      </c>
      <c r="E216" s="14">
        <v>24</v>
      </c>
      <c r="F216" s="10">
        <v>86.93</v>
      </c>
      <c r="G216" s="16">
        <v>75.807</v>
      </c>
      <c r="H216" s="21"/>
      <c r="I216" s="21"/>
      <c r="J216" s="21"/>
    </row>
    <row r="217" s="3" customFormat="true" ht="15.75" spans="1:10">
      <c r="A217" s="10" t="str">
        <f t="shared" ref="A217:A240" si="25">"037"</f>
        <v>037</v>
      </c>
      <c r="B217" s="10" t="s">
        <v>102</v>
      </c>
      <c r="C217" s="10" t="str">
        <f>"邓艳芳"</f>
        <v>邓艳芳</v>
      </c>
      <c r="D217" s="10" t="str">
        <f>"2021022103"</f>
        <v>2021022103</v>
      </c>
      <c r="E217" s="14">
        <v>14</v>
      </c>
      <c r="F217" s="10">
        <v>88.03</v>
      </c>
      <c r="G217" s="16">
        <v>86.183</v>
      </c>
      <c r="H217" s="19"/>
      <c r="I217" s="19"/>
      <c r="J217" s="19"/>
    </row>
    <row r="218" s="3" customFormat="true" ht="15.75" spans="1:10">
      <c r="A218" s="10" t="str">
        <f t="shared" si="25"/>
        <v>037</v>
      </c>
      <c r="B218" s="10" t="s">
        <v>102</v>
      </c>
      <c r="C218" s="10" t="str">
        <f>"舒帆"</f>
        <v>舒帆</v>
      </c>
      <c r="D218" s="10" t="str">
        <f>"2021022128"</f>
        <v>2021022128</v>
      </c>
      <c r="E218" s="14">
        <v>32</v>
      </c>
      <c r="F218" s="10">
        <v>87.5</v>
      </c>
      <c r="G218" s="16">
        <v>84.732</v>
      </c>
      <c r="H218" s="19"/>
      <c r="I218" s="19"/>
      <c r="J218" s="19"/>
    </row>
    <row r="219" s="3" customFormat="true" ht="15.75" spans="1:10">
      <c r="A219" s="10" t="str">
        <f t="shared" si="25"/>
        <v>037</v>
      </c>
      <c r="B219" s="10" t="s">
        <v>102</v>
      </c>
      <c r="C219" s="10" t="str">
        <f>"李洋"</f>
        <v>李洋</v>
      </c>
      <c r="D219" s="10" t="str">
        <f>"2021022425"</f>
        <v>2021022425</v>
      </c>
      <c r="E219" s="14">
        <v>9</v>
      </c>
      <c r="F219" s="10">
        <v>89.03</v>
      </c>
      <c r="G219" s="16">
        <v>84.454</v>
      </c>
      <c r="H219" s="19"/>
      <c r="I219" s="19"/>
      <c r="J219" s="19"/>
    </row>
    <row r="220" s="3" customFormat="true" ht="15.75" spans="1:10">
      <c r="A220" s="10" t="str">
        <f t="shared" si="25"/>
        <v>037</v>
      </c>
      <c r="B220" s="10" t="s">
        <v>102</v>
      </c>
      <c r="C220" s="10" t="str">
        <f>"王梦祝"</f>
        <v>王梦祝</v>
      </c>
      <c r="D220" s="10" t="str">
        <f>"2021022329"</f>
        <v>2021022329</v>
      </c>
      <c r="E220" s="14">
        <v>4</v>
      </c>
      <c r="F220" s="10">
        <v>87.27</v>
      </c>
      <c r="G220" s="16">
        <v>82.747</v>
      </c>
      <c r="H220" s="19"/>
      <c r="I220" s="19"/>
      <c r="J220" s="19"/>
    </row>
    <row r="221" s="3" customFormat="true" ht="15.75" spans="1:10">
      <c r="A221" s="10" t="str">
        <f t="shared" si="25"/>
        <v>037</v>
      </c>
      <c r="B221" s="10" t="s">
        <v>102</v>
      </c>
      <c r="C221" s="10" t="str">
        <f>"夏欢"</f>
        <v>夏欢</v>
      </c>
      <c r="D221" s="10" t="str">
        <f>"2021022315"</f>
        <v>2021022315</v>
      </c>
      <c r="E221" s="14">
        <v>29</v>
      </c>
      <c r="F221" s="10">
        <v>86.7</v>
      </c>
      <c r="G221" s="16">
        <v>82.694</v>
      </c>
      <c r="H221" s="19"/>
      <c r="I221" s="19"/>
      <c r="J221" s="19"/>
    </row>
    <row r="222" s="3" customFormat="true" ht="15.75" spans="1:10">
      <c r="A222" s="10" t="str">
        <f t="shared" si="25"/>
        <v>037</v>
      </c>
      <c r="B222" s="10" t="s">
        <v>102</v>
      </c>
      <c r="C222" s="10" t="str">
        <f>"易路遥"</f>
        <v>易路遥</v>
      </c>
      <c r="D222" s="10" t="str">
        <f>"2021022221"</f>
        <v>2021022221</v>
      </c>
      <c r="E222" s="14">
        <v>28</v>
      </c>
      <c r="F222" s="10">
        <v>87.37</v>
      </c>
      <c r="G222" s="16">
        <v>82.535</v>
      </c>
      <c r="H222" s="19"/>
      <c r="I222" s="19"/>
      <c r="J222" s="19"/>
    </row>
    <row r="223" s="3" customFormat="true" ht="15.75" spans="1:10">
      <c r="A223" s="10" t="str">
        <f t="shared" si="25"/>
        <v>037</v>
      </c>
      <c r="B223" s="10" t="s">
        <v>102</v>
      </c>
      <c r="C223" s="10" t="str">
        <f>"张珊钰"</f>
        <v>张珊钰</v>
      </c>
      <c r="D223" s="10" t="str">
        <f>"2021022203"</f>
        <v>2021022203</v>
      </c>
      <c r="E223" s="14">
        <v>6</v>
      </c>
      <c r="F223" s="10">
        <v>85.5</v>
      </c>
      <c r="G223" s="16">
        <v>82.229</v>
      </c>
      <c r="H223" s="19"/>
      <c r="I223" s="19"/>
      <c r="J223" s="19"/>
    </row>
    <row r="224" s="3" customFormat="true" ht="15.75" spans="1:10">
      <c r="A224" s="10" t="str">
        <f t="shared" si="25"/>
        <v>037</v>
      </c>
      <c r="B224" s="10" t="s">
        <v>102</v>
      </c>
      <c r="C224" s="10" t="str">
        <f>"陈玫君"</f>
        <v>陈玫君</v>
      </c>
      <c r="D224" s="10" t="str">
        <f>"2021022304"</f>
        <v>2021022304</v>
      </c>
      <c r="E224" s="14">
        <v>27</v>
      </c>
      <c r="F224" s="10">
        <v>86.8</v>
      </c>
      <c r="G224" s="16">
        <v>82.123</v>
      </c>
      <c r="H224" s="19"/>
      <c r="I224" s="19"/>
      <c r="J224" s="19"/>
    </row>
    <row r="225" ht="15.75" spans="1:7">
      <c r="A225" s="10" t="str">
        <f t="shared" si="25"/>
        <v>037</v>
      </c>
      <c r="B225" s="10" t="s">
        <v>102</v>
      </c>
      <c r="C225" s="10" t="str">
        <f>"武玲慧"</f>
        <v>武玲慧</v>
      </c>
      <c r="D225" s="10" t="str">
        <f>"2021022209"</f>
        <v>2021022209</v>
      </c>
      <c r="E225" s="14">
        <v>20</v>
      </c>
      <c r="F225" s="10">
        <v>85.6</v>
      </c>
      <c r="G225" s="16">
        <v>81.894</v>
      </c>
    </row>
    <row r="226" ht="15.75" spans="1:7">
      <c r="A226" s="10" t="str">
        <f t="shared" si="25"/>
        <v>037</v>
      </c>
      <c r="B226" s="10" t="s">
        <v>102</v>
      </c>
      <c r="C226" s="10" t="str">
        <f>"荆月"</f>
        <v>荆月</v>
      </c>
      <c r="D226" s="10" t="str">
        <f>"2021022309"</f>
        <v>2021022309</v>
      </c>
      <c r="E226" s="14">
        <v>16</v>
      </c>
      <c r="F226" s="10">
        <v>87.4</v>
      </c>
      <c r="G226" s="16">
        <v>81.852</v>
      </c>
    </row>
    <row r="227" ht="15.75" spans="1:7">
      <c r="A227" s="10" t="str">
        <f t="shared" si="25"/>
        <v>037</v>
      </c>
      <c r="B227" s="10" t="s">
        <v>102</v>
      </c>
      <c r="C227" s="10" t="str">
        <f>"石玉青"</f>
        <v>石玉青</v>
      </c>
      <c r="D227" s="10" t="str">
        <f>"2021022121"</f>
        <v>2021022121</v>
      </c>
      <c r="E227" s="14">
        <v>23</v>
      </c>
      <c r="F227" s="10">
        <v>86.63</v>
      </c>
      <c r="G227" s="16">
        <v>81.823</v>
      </c>
    </row>
    <row r="228" ht="15.75" spans="1:7">
      <c r="A228" s="10" t="str">
        <f t="shared" si="25"/>
        <v>037</v>
      </c>
      <c r="B228" s="10" t="s">
        <v>102</v>
      </c>
      <c r="C228" s="10" t="str">
        <f>"刘阿敏"</f>
        <v>刘阿敏</v>
      </c>
      <c r="D228" s="10" t="str">
        <f>"2021022205"</f>
        <v>2021022205</v>
      </c>
      <c r="E228" s="14">
        <v>7</v>
      </c>
      <c r="F228" s="10">
        <v>87.43</v>
      </c>
      <c r="G228" s="16">
        <v>81.54</v>
      </c>
    </row>
    <row r="229" ht="15.75" spans="1:7">
      <c r="A229" s="10" t="str">
        <f t="shared" si="25"/>
        <v>037</v>
      </c>
      <c r="B229" s="10" t="s">
        <v>102</v>
      </c>
      <c r="C229" s="10" t="str">
        <f>"李漫鸿"</f>
        <v>李漫鸿</v>
      </c>
      <c r="D229" s="10" t="str">
        <f>"2021022017"</f>
        <v>2021022017</v>
      </c>
      <c r="E229" s="14">
        <v>31</v>
      </c>
      <c r="F229" s="10">
        <v>86.5</v>
      </c>
      <c r="G229" s="16">
        <v>81.54</v>
      </c>
    </row>
    <row r="230" ht="15.75" spans="1:7">
      <c r="A230" s="10" t="str">
        <f t="shared" si="25"/>
        <v>037</v>
      </c>
      <c r="B230" s="10" t="s">
        <v>102</v>
      </c>
      <c r="C230" s="10" t="str">
        <f>"杨冬芝"</f>
        <v>杨冬芝</v>
      </c>
      <c r="D230" s="10" t="str">
        <f>"2021022212"</f>
        <v>2021022212</v>
      </c>
      <c r="E230" s="14">
        <v>17</v>
      </c>
      <c r="F230" s="10">
        <v>87.1</v>
      </c>
      <c r="G230" s="16">
        <v>81.401</v>
      </c>
    </row>
    <row r="231" ht="15.75" spans="1:7">
      <c r="A231" s="10" t="str">
        <f t="shared" si="25"/>
        <v>037</v>
      </c>
      <c r="B231" s="10" t="s">
        <v>102</v>
      </c>
      <c r="C231" s="10" t="str">
        <f>"谭姗"</f>
        <v>谭姗</v>
      </c>
      <c r="D231" s="10" t="str">
        <f>"2021022225"</f>
        <v>2021022225</v>
      </c>
      <c r="E231" s="14">
        <v>26</v>
      </c>
      <c r="F231" s="10">
        <v>87.5</v>
      </c>
      <c r="G231" s="16">
        <v>81.26</v>
      </c>
    </row>
    <row r="232" ht="15.75" spans="1:7">
      <c r="A232" s="10" t="str">
        <f t="shared" si="25"/>
        <v>037</v>
      </c>
      <c r="B232" s="10" t="s">
        <v>102</v>
      </c>
      <c r="C232" s="10" t="str">
        <f>"张兰"</f>
        <v>张兰</v>
      </c>
      <c r="D232" s="10" t="str">
        <f>"2021022216"</f>
        <v>2021022216</v>
      </c>
      <c r="E232" s="14">
        <v>25</v>
      </c>
      <c r="F232" s="10">
        <v>87.2</v>
      </c>
      <c r="G232" s="16">
        <v>80.48</v>
      </c>
    </row>
    <row r="233" ht="15.75" spans="1:7">
      <c r="A233" s="10" t="str">
        <f t="shared" si="25"/>
        <v>037</v>
      </c>
      <c r="B233" s="10" t="s">
        <v>102</v>
      </c>
      <c r="C233" s="10" t="str">
        <f>"刘美君"</f>
        <v>刘美君</v>
      </c>
      <c r="D233" s="10" t="str">
        <f>"2021022512"</f>
        <v>2021022512</v>
      </c>
      <c r="E233" s="14">
        <v>19</v>
      </c>
      <c r="F233" s="10">
        <v>86.2</v>
      </c>
      <c r="G233" s="16">
        <v>80.263</v>
      </c>
    </row>
    <row r="234" ht="15.75" spans="1:7">
      <c r="A234" s="10" t="str">
        <f t="shared" si="25"/>
        <v>037</v>
      </c>
      <c r="B234" s="10" t="s">
        <v>102</v>
      </c>
      <c r="C234" s="10" t="str">
        <f>"孙雅兰"</f>
        <v>孙雅兰</v>
      </c>
      <c r="D234" s="10" t="str">
        <f>"2021022416"</f>
        <v>2021022416</v>
      </c>
      <c r="E234" s="14">
        <v>18</v>
      </c>
      <c r="F234" s="10">
        <v>86.17</v>
      </c>
      <c r="G234" s="16">
        <v>80.145</v>
      </c>
    </row>
    <row r="235" ht="15.75" spans="1:7">
      <c r="A235" s="10" t="str">
        <f t="shared" si="25"/>
        <v>037</v>
      </c>
      <c r="B235" s="10" t="s">
        <v>102</v>
      </c>
      <c r="C235" s="10" t="str">
        <f>"张玲"</f>
        <v>张玲</v>
      </c>
      <c r="D235" s="10" t="str">
        <f>"2021022105"</f>
        <v>2021022105</v>
      </c>
      <c r="E235" s="14">
        <v>30</v>
      </c>
      <c r="F235" s="10">
        <v>86.63</v>
      </c>
      <c r="G235" s="16">
        <v>79.757</v>
      </c>
    </row>
    <row r="236" ht="15.75" spans="1:7">
      <c r="A236" s="10" t="str">
        <f t="shared" si="25"/>
        <v>037</v>
      </c>
      <c r="B236" s="10" t="s">
        <v>102</v>
      </c>
      <c r="C236" s="10" t="str">
        <f>"黄梅"</f>
        <v>黄梅</v>
      </c>
      <c r="D236" s="10" t="str">
        <f>"2021022104"</f>
        <v>2021022104</v>
      </c>
      <c r="E236" s="14">
        <v>1</v>
      </c>
      <c r="F236" s="10">
        <v>85.5</v>
      </c>
      <c r="G236" s="16">
        <v>79.569</v>
      </c>
    </row>
    <row r="237" ht="15.75" spans="1:7">
      <c r="A237" s="10" t="str">
        <f t="shared" si="25"/>
        <v>037</v>
      </c>
      <c r="B237" s="10" t="s">
        <v>102</v>
      </c>
      <c r="C237" s="10" t="str">
        <f>"毛妍霏"</f>
        <v>毛妍霏</v>
      </c>
      <c r="D237" s="10" t="str">
        <f>"2021022501"</f>
        <v>2021022501</v>
      </c>
      <c r="E237" s="14">
        <v>12</v>
      </c>
      <c r="F237" s="10">
        <v>86.4</v>
      </c>
      <c r="G237" s="16">
        <v>79.069</v>
      </c>
    </row>
    <row r="238" ht="15.75" spans="1:7">
      <c r="A238" s="10" t="str">
        <f t="shared" si="25"/>
        <v>037</v>
      </c>
      <c r="B238" s="10" t="s">
        <v>102</v>
      </c>
      <c r="C238" s="10" t="str">
        <f>"曾琴"</f>
        <v>曾琴</v>
      </c>
      <c r="D238" s="10" t="str">
        <f>"2021022330"</f>
        <v>2021022330</v>
      </c>
      <c r="E238" s="14">
        <v>11</v>
      </c>
      <c r="F238" s="10">
        <v>86.8</v>
      </c>
      <c r="G238" s="16">
        <v>78.937</v>
      </c>
    </row>
    <row r="239" ht="15.75" spans="1:7">
      <c r="A239" s="10" t="str">
        <f t="shared" si="25"/>
        <v>037</v>
      </c>
      <c r="B239" s="10" t="s">
        <v>102</v>
      </c>
      <c r="C239" s="10" t="str">
        <f>"石文娟"</f>
        <v>石文娟</v>
      </c>
      <c r="D239" s="10" t="str">
        <f>"2021022509"</f>
        <v>2021022509</v>
      </c>
      <c r="E239" s="14">
        <v>5</v>
      </c>
      <c r="F239" s="10">
        <v>87.8</v>
      </c>
      <c r="G239" s="16">
        <v>78.598</v>
      </c>
    </row>
    <row r="240" ht="15.75" spans="1:7">
      <c r="A240" s="10" t="str">
        <f t="shared" si="25"/>
        <v>037</v>
      </c>
      <c r="B240" s="10" t="s">
        <v>102</v>
      </c>
      <c r="C240" s="10" t="str">
        <f>"田淑珍"</f>
        <v>田淑珍</v>
      </c>
      <c r="D240" s="10" t="str">
        <f>"2021022117"</f>
        <v>2021022117</v>
      </c>
      <c r="E240" s="14" t="s">
        <v>19</v>
      </c>
      <c r="F240" s="10">
        <v>0</v>
      </c>
      <c r="G240" s="16">
        <v>21.39</v>
      </c>
    </row>
    <row r="241" s="3" customFormat="true" ht="15.75" spans="1:10">
      <c r="A241" s="10" t="str">
        <f>"038"</f>
        <v>038</v>
      </c>
      <c r="B241" s="9" t="s">
        <v>103</v>
      </c>
      <c r="C241" s="10" t="str">
        <f>"汪婷"</f>
        <v>汪婷</v>
      </c>
      <c r="D241" s="10" t="str">
        <f>"2021023417"</f>
        <v>2021023417</v>
      </c>
      <c r="E241" s="14">
        <v>1</v>
      </c>
      <c r="F241" s="10">
        <v>95</v>
      </c>
      <c r="G241" s="16">
        <v>81.42</v>
      </c>
      <c r="H241" s="19"/>
      <c r="I241" s="19"/>
      <c r="J241" s="19"/>
    </row>
    <row r="242" ht="15.75" spans="1:7">
      <c r="A242" s="10" t="str">
        <f>"038"</f>
        <v>038</v>
      </c>
      <c r="B242" s="9" t="s">
        <v>103</v>
      </c>
      <c r="C242" s="10" t="str">
        <f>"滕小玲"</f>
        <v>滕小玲</v>
      </c>
      <c r="D242" s="10" t="str">
        <f>"2021023427"</f>
        <v>2021023427</v>
      </c>
      <c r="E242" s="14">
        <v>2</v>
      </c>
      <c r="F242" s="10">
        <v>91.33</v>
      </c>
      <c r="G242" s="16">
        <v>76.9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数值表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2021-11-15T09:54:00Z</dcterms:created>
  <dcterms:modified xsi:type="dcterms:W3CDTF">2021-11-23T15:01:24Z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  <property fmtid="{D5CDD505-2E9C-101B-9397-08002B2CF9AE}" pid="3" name="ICV">
    <vt:lpwstr>5BF17C43A0AE440EBDD2178F96EE6292</vt:lpwstr>
  </property>
</Properties>
</file>